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351_400\F363_Willich\F363a_FEP\M00_Budget_Massnahmenplg\"/>
    </mc:Choice>
  </mc:AlternateContent>
  <bookViews>
    <workbookView xWindow="0" yWindow="0" windowWidth="23040" windowHeight="8415"/>
  </bookViews>
  <sheets>
    <sheet name="F363a_Kostenplg" sheetId="9" r:id="rId1"/>
    <sheet name="F363a_2024_Bestatt" sheetId="11" r:id="rId2"/>
    <sheet name="Baupreisindizes" sheetId="10" r:id="rId3"/>
  </sheets>
  <definedNames>
    <definedName name="_xlnm.Print_Area" localSheetId="1">F363a_2024_Bestatt!$A$1:$T$25</definedName>
    <definedName name="_xlnm.Print_Area" localSheetId="0">F363a_Kostenplg!$A$1:$T$60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11" l="1"/>
  <c r="P20" i="11"/>
  <c r="P19" i="11"/>
  <c r="P18" i="11"/>
  <c r="I22" i="9" l="1"/>
  <c r="I21" i="9"/>
  <c r="I20" i="9"/>
  <c r="I19" i="9"/>
  <c r="AE8" i="9" l="1"/>
  <c r="AE9" i="9"/>
  <c r="AE11" i="9"/>
  <c r="AE12" i="9"/>
  <c r="AE13" i="9"/>
  <c r="AE14" i="9"/>
  <c r="AE15" i="9"/>
  <c r="AE16" i="9"/>
  <c r="AE17" i="9"/>
  <c r="AE18" i="9"/>
  <c r="AE19" i="9"/>
  <c r="AE20" i="9"/>
  <c r="AE21" i="9"/>
  <c r="AE22" i="9"/>
  <c r="AE23" i="9"/>
  <c r="AE25" i="9"/>
  <c r="AE26" i="9"/>
  <c r="AE27" i="9"/>
  <c r="AE28" i="9"/>
  <c r="AE29" i="9"/>
  <c r="AE31" i="9"/>
  <c r="AE30" i="9" s="1"/>
  <c r="AE32" i="9"/>
  <c r="AE34" i="9"/>
  <c r="AE35" i="9"/>
  <c r="AE36" i="9"/>
  <c r="AE37" i="9"/>
  <c r="AE38" i="9"/>
  <c r="AE40" i="9"/>
  <c r="AE41" i="9"/>
  <c r="AE42" i="9"/>
  <c r="AE43" i="9"/>
  <c r="AE44" i="9"/>
  <c r="AE46" i="9"/>
  <c r="AE47" i="9"/>
  <c r="AE48" i="9"/>
  <c r="AE49" i="9"/>
  <c r="AE45" i="9" s="1"/>
  <c r="AE51" i="9"/>
  <c r="AE52" i="9"/>
  <c r="AE53" i="9"/>
  <c r="AE55" i="9"/>
  <c r="AE56" i="9"/>
  <c r="AE57" i="9"/>
  <c r="AE7" i="9" l="1"/>
  <c r="AE54" i="9"/>
  <c r="AE39" i="9"/>
  <c r="AE24" i="9"/>
  <c r="AE10" i="9"/>
  <c r="AE50" i="9"/>
  <c r="AE33" i="9"/>
  <c r="H24" i="11" l="1"/>
  <c r="K24" i="11"/>
  <c r="N24" i="11"/>
  <c r="Q24" i="11"/>
  <c r="M29" i="9" l="1"/>
  <c r="M23" i="9"/>
  <c r="E20" i="9"/>
  <c r="E21" i="9"/>
  <c r="E22" i="9"/>
  <c r="E19" i="9"/>
  <c r="I16" i="9"/>
  <c r="K16" i="9" s="1"/>
  <c r="N16" i="9" s="1"/>
  <c r="O16" i="9" s="1"/>
  <c r="P16" i="9" s="1"/>
  <c r="Q16" i="9" s="1"/>
  <c r="R16" i="9" s="1"/>
  <c r="S16" i="9" s="1"/>
  <c r="T16" i="9" s="1"/>
  <c r="I18" i="9"/>
  <c r="K18" i="9" s="1"/>
  <c r="M18" i="9" s="1"/>
  <c r="I15" i="9"/>
  <c r="K15" i="9" s="1"/>
  <c r="M15" i="9" s="1"/>
  <c r="E16" i="9"/>
  <c r="E17" i="9"/>
  <c r="E18" i="9"/>
  <c r="E15" i="9"/>
  <c r="E14" i="9"/>
  <c r="E12" i="9"/>
  <c r="E13" i="9"/>
  <c r="E11" i="9"/>
  <c r="AN18" i="9"/>
  <c r="AL18" i="9"/>
  <c r="AK18" i="9"/>
  <c r="AI18" i="9"/>
  <c r="AH18" i="9"/>
  <c r="AG18" i="9"/>
  <c r="AN17" i="9"/>
  <c r="AL17" i="9"/>
  <c r="AK17" i="9"/>
  <c r="AI17" i="9"/>
  <c r="AH17" i="9"/>
  <c r="AG17" i="9"/>
  <c r="AN16" i="9"/>
  <c r="AL16" i="9"/>
  <c r="AK16" i="9"/>
  <c r="AI16" i="9"/>
  <c r="AH16" i="9"/>
  <c r="AG16" i="9"/>
  <c r="AN15" i="9"/>
  <c r="AL15" i="9"/>
  <c r="AK15" i="9"/>
  <c r="AI15" i="9"/>
  <c r="AG15" i="9"/>
  <c r="I12" i="9"/>
  <c r="I13" i="9"/>
  <c r="I14" i="9"/>
  <c r="I11" i="9"/>
  <c r="M16" i="9" l="1"/>
  <c r="W16" i="9"/>
  <c r="AF16" i="9" s="1"/>
  <c r="AA16" i="9"/>
  <c r="AJ16" i="9" s="1"/>
  <c r="J16" i="9"/>
  <c r="N18" i="9"/>
  <c r="W18" i="9" s="1"/>
  <c r="J18" i="9"/>
  <c r="J15" i="9"/>
  <c r="N15" i="9"/>
  <c r="W15" i="9" s="1"/>
  <c r="G19" i="11"/>
  <c r="AN43" i="9"/>
  <c r="AL43" i="9"/>
  <c r="AK43" i="9"/>
  <c r="AJ43" i="9"/>
  <c r="AI43" i="9"/>
  <c r="AH43" i="9"/>
  <c r="AG43" i="9"/>
  <c r="K43" i="9"/>
  <c r="M53" i="9"/>
  <c r="N53" i="9" s="1"/>
  <c r="O53" i="9" s="1"/>
  <c r="P53" i="9" s="1"/>
  <c r="Q53" i="9" s="1"/>
  <c r="R53" i="9" s="1"/>
  <c r="S53" i="9" s="1"/>
  <c r="T53" i="9" s="1"/>
  <c r="M49" i="9"/>
  <c r="N49" i="9"/>
  <c r="O49" i="9" s="1"/>
  <c r="P49" i="9" s="1"/>
  <c r="Q49" i="9" s="1"/>
  <c r="R49" i="9" s="1"/>
  <c r="S49" i="9" s="1"/>
  <c r="T49" i="9" s="1"/>
  <c r="N29" i="9"/>
  <c r="O29" i="9" s="1"/>
  <c r="P29" i="9" s="1"/>
  <c r="Q29" i="9" s="1"/>
  <c r="R29" i="9" s="1"/>
  <c r="S29" i="9" s="1"/>
  <c r="T29" i="9" s="1"/>
  <c r="N23" i="9"/>
  <c r="O23" i="9" s="1"/>
  <c r="P23" i="9" s="1"/>
  <c r="Q23" i="9" s="1"/>
  <c r="K31" i="9"/>
  <c r="J31" i="9" s="1"/>
  <c r="AD16" i="9" l="1"/>
  <c r="AM16" i="9"/>
  <c r="J43" i="9"/>
  <c r="W43" i="9"/>
  <c r="O15" i="9"/>
  <c r="P15" i="9" s="1"/>
  <c r="O18" i="9"/>
  <c r="P18" i="9" s="1"/>
  <c r="Q18" i="9" s="1"/>
  <c r="R18" i="9" s="1"/>
  <c r="AA18" i="9" s="1"/>
  <c r="M43" i="9"/>
  <c r="N43" i="9" s="1"/>
  <c r="O43" i="9" s="1"/>
  <c r="P43" i="9" s="1"/>
  <c r="Q43" i="9" s="1"/>
  <c r="R43" i="9" s="1"/>
  <c r="S43" i="9" s="1"/>
  <c r="T43" i="9" s="1"/>
  <c r="AN30" i="9"/>
  <c r="AN31" i="9"/>
  <c r="AN32" i="9"/>
  <c r="AN34" i="9"/>
  <c r="AN35" i="9"/>
  <c r="AN36" i="9"/>
  <c r="AN37" i="9"/>
  <c r="AN38" i="9"/>
  <c r="AN40" i="9"/>
  <c r="AN41" i="9"/>
  <c r="AN42" i="9"/>
  <c r="AN44" i="9"/>
  <c r="AN46" i="9"/>
  <c r="AN47" i="9"/>
  <c r="AN48" i="9"/>
  <c r="AN49" i="9"/>
  <c r="AN51" i="9"/>
  <c r="AN52" i="9"/>
  <c r="AN53" i="9"/>
  <c r="AN55" i="9"/>
  <c r="AN56" i="9"/>
  <c r="AN57" i="9"/>
  <c r="AN58" i="9"/>
  <c r="AN8" i="9"/>
  <c r="AN9" i="9"/>
  <c r="AN11" i="9"/>
  <c r="AN12" i="9"/>
  <c r="AN13" i="9"/>
  <c r="AN14" i="9"/>
  <c r="AN19" i="9"/>
  <c r="AN20" i="9"/>
  <c r="AN21" i="9"/>
  <c r="AN22" i="9"/>
  <c r="AN23" i="9"/>
  <c r="AN25" i="9"/>
  <c r="AN26" i="9"/>
  <c r="AN27" i="9"/>
  <c r="AN28" i="9"/>
  <c r="AN6" i="9"/>
  <c r="K21" i="9"/>
  <c r="M21" i="9" s="1"/>
  <c r="AL21" i="9"/>
  <c r="AK21" i="9"/>
  <c r="AI21" i="9"/>
  <c r="AH21" i="9"/>
  <c r="AG21" i="9"/>
  <c r="K28" i="9"/>
  <c r="M28" i="9" s="1"/>
  <c r="AD43" i="9" l="1"/>
  <c r="AF43" i="9"/>
  <c r="AM43" i="9" s="1"/>
  <c r="AJ18" i="9"/>
  <c r="S18" i="9"/>
  <c r="T18" i="9" s="1"/>
  <c r="AF18" i="9"/>
  <c r="AD18" i="9"/>
  <c r="Q15" i="9"/>
  <c r="R15" i="9" s="1"/>
  <c r="AH15" i="9"/>
  <c r="AF15" i="9"/>
  <c r="J21" i="9"/>
  <c r="N21" i="9"/>
  <c r="W21" i="9" s="1"/>
  <c r="J28" i="9"/>
  <c r="N28" i="9"/>
  <c r="O21" i="9" l="1"/>
  <c r="P21" i="9" s="1"/>
  <c r="Q21" i="9" s="1"/>
  <c r="R21" i="9" s="1"/>
  <c r="S21" i="9" s="1"/>
  <c r="T21" i="9" s="1"/>
  <c r="AF21" i="9"/>
  <c r="S15" i="9"/>
  <c r="T15" i="9" s="1"/>
  <c r="AA15" i="9"/>
  <c r="AM18" i="9"/>
  <c r="O28" i="9"/>
  <c r="X28" i="9" s="1"/>
  <c r="AJ15" i="9" l="1"/>
  <c r="AM15" i="9" s="1"/>
  <c r="AD15" i="9"/>
  <c r="AJ21" i="9"/>
  <c r="AM21" i="9" s="1"/>
  <c r="AD21" i="9"/>
  <c r="P28" i="9"/>
  <c r="Q28" i="9" l="1"/>
  <c r="R28" i="9" l="1"/>
  <c r="S28" i="9" l="1"/>
  <c r="T28" i="9" l="1"/>
  <c r="AL28" i="9" s="1"/>
  <c r="AK28" i="9"/>
  <c r="K57" i="9"/>
  <c r="J57" i="9" s="1"/>
  <c r="T23" i="9"/>
  <c r="R23" i="9"/>
  <c r="S23" i="9"/>
  <c r="AF5" i="9"/>
  <c r="AG5" i="9"/>
  <c r="AH5" i="9"/>
  <c r="AI5" i="9"/>
  <c r="AJ5" i="9"/>
  <c r="AK5" i="9"/>
  <c r="AL5" i="9"/>
  <c r="AE5" i="9"/>
  <c r="W5" i="9"/>
  <c r="X5" i="9"/>
  <c r="Y5" i="9"/>
  <c r="Z5" i="9"/>
  <c r="AA5" i="9"/>
  <c r="AB5" i="9"/>
  <c r="AC5" i="9"/>
  <c r="V5" i="9"/>
  <c r="M57" i="9" l="1"/>
  <c r="N57" i="9" s="1"/>
  <c r="O57" i="9" s="1"/>
  <c r="P57" i="9" s="1"/>
  <c r="Q57" i="9" s="1"/>
  <c r="R57" i="9" s="1"/>
  <c r="S57" i="9" s="1"/>
  <c r="T57" i="9" s="1"/>
  <c r="AL57" i="9"/>
  <c r="AK57" i="9"/>
  <c r="AJ57" i="9"/>
  <c r="AI57" i="9"/>
  <c r="AH57" i="9"/>
  <c r="AG57" i="9"/>
  <c r="AF57" i="9"/>
  <c r="AL56" i="9"/>
  <c r="AK56" i="9"/>
  <c r="AJ56" i="9"/>
  <c r="AI56" i="9"/>
  <c r="AH56" i="9"/>
  <c r="AG56" i="9"/>
  <c r="AF56" i="9"/>
  <c r="AL55" i="9"/>
  <c r="AK55" i="9"/>
  <c r="AI55" i="9"/>
  <c r="AH55" i="9"/>
  <c r="AG55" i="9"/>
  <c r="AF55" i="9"/>
  <c r="AL53" i="9"/>
  <c r="AK53" i="9"/>
  <c r="AJ53" i="9"/>
  <c r="AI53" i="9"/>
  <c r="AH53" i="9"/>
  <c r="AG53" i="9"/>
  <c r="AF53" i="9"/>
  <c r="AL51" i="9"/>
  <c r="AK51" i="9"/>
  <c r="AJ51" i="9"/>
  <c r="AI51" i="9"/>
  <c r="AH51" i="9"/>
  <c r="AG51" i="9"/>
  <c r="AL49" i="9"/>
  <c r="AK49" i="9"/>
  <c r="AL48" i="9"/>
  <c r="AK48" i="9"/>
  <c r="AL47" i="9"/>
  <c r="AK47" i="9"/>
  <c r="AJ47" i="9"/>
  <c r="AH47" i="9"/>
  <c r="AG47" i="9"/>
  <c r="AL46" i="9"/>
  <c r="AK46" i="9"/>
  <c r="AL44" i="9"/>
  <c r="AK44" i="9"/>
  <c r="AJ44" i="9"/>
  <c r="AI44" i="9"/>
  <c r="AH44" i="9"/>
  <c r="AG44" i="9"/>
  <c r="AF44" i="9"/>
  <c r="AL42" i="9"/>
  <c r="AK42" i="9"/>
  <c r="AJ42" i="9"/>
  <c r="AI42" i="9"/>
  <c r="AH42" i="9"/>
  <c r="AG42" i="9"/>
  <c r="AL41" i="9"/>
  <c r="AK41" i="9"/>
  <c r="AJ41" i="9"/>
  <c r="AI41" i="9"/>
  <c r="AH41" i="9"/>
  <c r="AG41" i="9"/>
  <c r="AL40" i="9"/>
  <c r="AK40" i="9"/>
  <c r="AJ40" i="9"/>
  <c r="AI40" i="9"/>
  <c r="AG40" i="9"/>
  <c r="AL38" i="9"/>
  <c r="AK38" i="9"/>
  <c r="AJ38" i="9"/>
  <c r="AI38" i="9"/>
  <c r="AH38" i="9"/>
  <c r="AG38" i="9"/>
  <c r="AF38" i="9"/>
  <c r="AL37" i="9"/>
  <c r="AK37" i="9"/>
  <c r="AJ37" i="9"/>
  <c r="AI37" i="9"/>
  <c r="AH37" i="9"/>
  <c r="AG37" i="9"/>
  <c r="AF37" i="9"/>
  <c r="AL36" i="9"/>
  <c r="AK36" i="9"/>
  <c r="AJ36" i="9"/>
  <c r="AI36" i="9"/>
  <c r="AH36" i="9"/>
  <c r="AG36" i="9"/>
  <c r="AF36" i="9"/>
  <c r="AL35" i="9"/>
  <c r="AK35" i="9"/>
  <c r="AL34" i="9"/>
  <c r="AK34" i="9"/>
  <c r="AF34" i="9"/>
  <c r="AL32" i="9"/>
  <c r="AK32" i="9"/>
  <c r="AJ32" i="9"/>
  <c r="AI32" i="9"/>
  <c r="AF32" i="9"/>
  <c r="AL31" i="9"/>
  <c r="AK31" i="9"/>
  <c r="AJ31" i="9"/>
  <c r="AI31" i="9"/>
  <c r="AL29" i="9"/>
  <c r="AK29" i="9"/>
  <c r="AJ29" i="9"/>
  <c r="AI29" i="9"/>
  <c r="AH29" i="9"/>
  <c r="AG29" i="9"/>
  <c r="AF29" i="9"/>
  <c r="AL23" i="9"/>
  <c r="AK23" i="9"/>
  <c r="AJ23" i="9"/>
  <c r="AI23" i="9"/>
  <c r="AH23" i="9"/>
  <c r="AG23" i="9"/>
  <c r="AF23" i="9"/>
  <c r="AI13" i="9"/>
  <c r="AG13" i="9"/>
  <c r="AI20" i="9"/>
  <c r="AH20" i="9"/>
  <c r="AG20" i="9"/>
  <c r="AL22" i="9"/>
  <c r="AK22" i="9"/>
  <c r="AI22" i="9"/>
  <c r="AH22" i="9"/>
  <c r="AL19" i="9"/>
  <c r="AK19" i="9"/>
  <c r="AJ19" i="9"/>
  <c r="AI19" i="9"/>
  <c r="AL14" i="9"/>
  <c r="AK14" i="9"/>
  <c r="AI14" i="9"/>
  <c r="AG14" i="9"/>
  <c r="AL12" i="9"/>
  <c r="AK12" i="9"/>
  <c r="AI12" i="9"/>
  <c r="AG12" i="9"/>
  <c r="AL11" i="9"/>
  <c r="AK11" i="9"/>
  <c r="AI11" i="9"/>
  <c r="AH11" i="9"/>
  <c r="AL9" i="9"/>
  <c r="AK9" i="9"/>
  <c r="AJ9" i="9"/>
  <c r="AI9" i="9"/>
  <c r="AH9" i="9"/>
  <c r="AG9" i="9"/>
  <c r="AF9" i="9"/>
  <c r="AL8" i="9"/>
  <c r="AK8" i="9"/>
  <c r="AJ8" i="9"/>
  <c r="AG8" i="9"/>
  <c r="AF8" i="9"/>
  <c r="AM58" i="9"/>
  <c r="AL7" i="9" l="1"/>
  <c r="AI54" i="9"/>
  <c r="AK30" i="9"/>
  <c r="AJ7" i="9"/>
  <c r="AK54" i="9"/>
  <c r="AF54" i="9"/>
  <c r="AH54" i="9"/>
  <c r="AK45" i="9"/>
  <c r="AF7" i="9"/>
  <c r="AL33" i="9"/>
  <c r="AL30" i="9"/>
  <c r="AG39" i="9"/>
  <c r="AL54" i="9"/>
  <c r="AM38" i="9"/>
  <c r="AI39" i="9"/>
  <c r="AJ39" i="9"/>
  <c r="AG7" i="9"/>
  <c r="AK7" i="9"/>
  <c r="AJ30" i="9"/>
  <c r="AK33" i="9"/>
  <c r="AK39" i="9"/>
  <c r="AL39" i="9"/>
  <c r="AL45" i="9"/>
  <c r="AG54" i="9"/>
  <c r="AI30" i="9"/>
  <c r="AM44" i="9"/>
  <c r="AM57" i="9"/>
  <c r="AM9" i="9"/>
  <c r="AM37" i="9"/>
  <c r="AM56" i="9"/>
  <c r="AM36" i="9"/>
  <c r="AE59" i="9" l="1"/>
  <c r="AI28" i="9" l="1"/>
  <c r="AF28" i="9" l="1"/>
  <c r="AG28" i="9"/>
  <c r="AH28" i="9"/>
  <c r="AJ28" i="9"/>
  <c r="AM28" i="9" l="1"/>
  <c r="AD28" i="9"/>
  <c r="K48" i="9" l="1"/>
  <c r="K47" i="9"/>
  <c r="K46" i="9"/>
  <c r="K52" i="9"/>
  <c r="K51" i="9"/>
  <c r="M51" i="9" s="1"/>
  <c r="K40" i="9"/>
  <c r="W40" i="9" s="1"/>
  <c r="AF40" i="9" s="1"/>
  <c r="K34" i="9"/>
  <c r="K35" i="9"/>
  <c r="K27" i="9"/>
  <c r="M27" i="9" s="1"/>
  <c r="K26" i="9"/>
  <c r="M26" i="9" s="1"/>
  <c r="K13" i="9"/>
  <c r="M13" i="9" s="1"/>
  <c r="K20" i="9"/>
  <c r="M20" i="9" s="1"/>
  <c r="M46" i="9" l="1"/>
  <c r="N46" i="9"/>
  <c r="O46" i="9" s="1"/>
  <c r="P46" i="9" s="1"/>
  <c r="Q46" i="9" s="1"/>
  <c r="R46" i="9" s="1"/>
  <c r="S46" i="9" s="1"/>
  <c r="T46" i="9" s="1"/>
  <c r="J52" i="9"/>
  <c r="M52" i="9"/>
  <c r="N52" i="9" s="1"/>
  <c r="M47" i="9"/>
  <c r="N47" i="9"/>
  <c r="O47" i="9" s="1"/>
  <c r="P47" i="9" s="1"/>
  <c r="Q47" i="9" s="1"/>
  <c r="R47" i="9" s="1"/>
  <c r="S47" i="9" s="1"/>
  <c r="T47" i="9" s="1"/>
  <c r="M48" i="9"/>
  <c r="N48" i="9"/>
  <c r="O48" i="9" s="1"/>
  <c r="P48" i="9" s="1"/>
  <c r="Q48" i="9" s="1"/>
  <c r="R48" i="9" s="1"/>
  <c r="S48" i="9" s="1"/>
  <c r="T48" i="9" s="1"/>
  <c r="J51" i="9"/>
  <c r="J34" i="9"/>
  <c r="M34" i="9"/>
  <c r="J48" i="9"/>
  <c r="J40" i="9"/>
  <c r="M40" i="9"/>
  <c r="J46" i="9"/>
  <c r="J20" i="9"/>
  <c r="J27" i="9"/>
  <c r="J35" i="9"/>
  <c r="M35" i="9"/>
  <c r="J47" i="9"/>
  <c r="J26" i="9"/>
  <c r="N26" i="9"/>
  <c r="J13" i="9"/>
  <c r="N13" i="9"/>
  <c r="N27" i="9"/>
  <c r="W27" i="9" s="1"/>
  <c r="N20" i="9"/>
  <c r="W20" i="9" s="1"/>
  <c r="N40" i="9"/>
  <c r="O40" i="9" s="1"/>
  <c r="P40" i="9" s="1"/>
  <c r="N34" i="9"/>
  <c r="O34" i="9" s="1"/>
  <c r="N35" i="9"/>
  <c r="O35" i="9" s="1"/>
  <c r="P35" i="9" s="1"/>
  <c r="Q35" i="9" s="1"/>
  <c r="R35" i="9" s="1"/>
  <c r="S35" i="9" s="1"/>
  <c r="T35" i="9" s="1"/>
  <c r="N51" i="9"/>
  <c r="W51" i="9" s="1"/>
  <c r="AF51" i="9" s="1"/>
  <c r="AM51" i="9" s="1"/>
  <c r="O20" i="9" l="1"/>
  <c r="P20" i="9" s="1"/>
  <c r="Q20" i="9" s="1"/>
  <c r="R20" i="9" s="1"/>
  <c r="S20" i="9" s="1"/>
  <c r="T20" i="9" s="1"/>
  <c r="AF20" i="9"/>
  <c r="O52" i="9"/>
  <c r="P52" i="9" s="1"/>
  <c r="Q52" i="9" s="1"/>
  <c r="R52" i="9" s="1"/>
  <c r="S52" i="9" s="1"/>
  <c r="T52" i="9" s="1"/>
  <c r="AF52" i="9"/>
  <c r="O13" i="9"/>
  <c r="P13" i="9" s="1"/>
  <c r="Q13" i="9" s="1"/>
  <c r="R13" i="9" s="1"/>
  <c r="W13" i="9"/>
  <c r="AF13" i="9" s="1"/>
  <c r="X52" i="9"/>
  <c r="AF26" i="9"/>
  <c r="O26" i="9"/>
  <c r="AJ20" i="9"/>
  <c r="AF48" i="9"/>
  <c r="Q40" i="9"/>
  <c r="R40" i="9" s="1"/>
  <c r="S40" i="9" s="1"/>
  <c r="T40" i="9" s="1"/>
  <c r="AH40" i="9"/>
  <c r="AF46" i="9"/>
  <c r="AH13" i="9"/>
  <c r="P34" i="9"/>
  <c r="AG34" i="9"/>
  <c r="AF47" i="9"/>
  <c r="O27" i="9"/>
  <c r="AF27" i="9"/>
  <c r="O51" i="9"/>
  <c r="P51" i="9" s="1"/>
  <c r="Q51" i="9" s="1"/>
  <c r="R51" i="9" s="1"/>
  <c r="S51" i="9" s="1"/>
  <c r="T51" i="9" s="1"/>
  <c r="AG52" i="9" l="1"/>
  <c r="Y52" i="9"/>
  <c r="AH52" i="9" s="1"/>
  <c r="S13" i="9"/>
  <c r="T13" i="9" s="1"/>
  <c r="AA13" i="9"/>
  <c r="AJ13" i="9" s="1"/>
  <c r="P26" i="9"/>
  <c r="AH26" i="9" s="1"/>
  <c r="X26" i="9"/>
  <c r="AG26" i="9" s="1"/>
  <c r="AH39" i="9"/>
  <c r="AM40" i="9"/>
  <c r="AF50" i="9"/>
  <c r="AI47" i="9"/>
  <c r="AM47" i="9" s="1"/>
  <c r="AG48" i="9"/>
  <c r="Q34" i="9"/>
  <c r="P27" i="9"/>
  <c r="AG27" i="9"/>
  <c r="AG46" i="9"/>
  <c r="Z52" i="9"/>
  <c r="AI52" i="9" s="1"/>
  <c r="Q26" i="9" l="1"/>
  <c r="R26" i="9" s="1"/>
  <c r="AH34" i="9"/>
  <c r="AG50" i="9"/>
  <c r="AH46" i="9"/>
  <c r="R34" i="9"/>
  <c r="AI34" i="9"/>
  <c r="Q27" i="9"/>
  <c r="AH27" i="9"/>
  <c r="AH48" i="9"/>
  <c r="AA52" i="9"/>
  <c r="AJ52" i="9" s="1"/>
  <c r="AJ34" i="9" l="1"/>
  <c r="AM34" i="9" s="1"/>
  <c r="S34" i="9"/>
  <c r="T34" i="9" s="1"/>
  <c r="AJ26" i="9"/>
  <c r="S26" i="9"/>
  <c r="AH50" i="9"/>
  <c r="AI26" i="9"/>
  <c r="R27" i="9"/>
  <c r="AI50" i="9"/>
  <c r="AB52" i="9"/>
  <c r="AK52" i="9" s="1"/>
  <c r="AK50" i="9" s="1"/>
  <c r="T26" i="9" l="1"/>
  <c r="AL26" i="9" s="1"/>
  <c r="AK26" i="9"/>
  <c r="AJ50" i="9"/>
  <c r="AJ48" i="9"/>
  <c r="AJ27" i="9"/>
  <c r="S27" i="9"/>
  <c r="AJ46" i="9"/>
  <c r="AI27" i="9"/>
  <c r="AI46" i="9"/>
  <c r="AI48" i="9"/>
  <c r="AM26" i="9" l="1"/>
  <c r="T27" i="9"/>
  <c r="AL27" i="9" s="1"/>
  <c r="AK27" i="9"/>
  <c r="AM48" i="9"/>
  <c r="AM46" i="9"/>
  <c r="AM27" i="9" l="1"/>
  <c r="AF49" i="9"/>
  <c r="AF45" i="9" s="1"/>
  <c r="AG49" i="9"/>
  <c r="AG45" i="9" s="1"/>
  <c r="AH49" i="9"/>
  <c r="AH45" i="9" s="1"/>
  <c r="AI49" i="9"/>
  <c r="AI45" i="9" s="1"/>
  <c r="AJ49" i="9"/>
  <c r="AJ45" i="9" s="1"/>
  <c r="W35" i="9"/>
  <c r="AF35" i="9" s="1"/>
  <c r="AG35" i="9"/>
  <c r="AG33" i="9" s="1"/>
  <c r="AH35" i="9"/>
  <c r="AH33" i="9" s="1"/>
  <c r="AI35" i="9"/>
  <c r="AI33" i="9" s="1"/>
  <c r="AJ35" i="9"/>
  <c r="AJ33" i="9" s="1"/>
  <c r="AM45" i="9" l="1"/>
  <c r="AF33" i="9"/>
  <c r="AM33" i="9" s="1"/>
  <c r="AM35" i="9"/>
  <c r="AD48" i="9"/>
  <c r="AD47" i="9"/>
  <c r="AD26" i="9"/>
  <c r="AK20" i="9"/>
  <c r="AL20" i="9"/>
  <c r="AK13" i="9"/>
  <c r="AL13" i="9"/>
  <c r="V24" i="9"/>
  <c r="L24" i="9"/>
  <c r="I24" i="9"/>
  <c r="V45" i="9"/>
  <c r="L45" i="9"/>
  <c r="I45" i="9"/>
  <c r="V10" i="9"/>
  <c r="L10" i="9"/>
  <c r="AL10" i="9" l="1"/>
  <c r="AK10" i="9"/>
  <c r="AM20" i="9"/>
  <c r="AM13" i="9"/>
  <c r="AD27" i="9"/>
  <c r="AD46" i="9"/>
  <c r="AC10" i="9"/>
  <c r="AB10" i="9"/>
  <c r="AD20" i="9"/>
  <c r="AD13" i="9"/>
  <c r="K45" i="9"/>
  <c r="L54" i="9"/>
  <c r="L50" i="9"/>
  <c r="L39" i="9"/>
  <c r="L33" i="9"/>
  <c r="L30" i="9"/>
  <c r="L7" i="9"/>
  <c r="J45" i="9" l="1"/>
  <c r="M45" i="9"/>
  <c r="N45" i="9"/>
  <c r="L59" i="9"/>
  <c r="O45" i="9" l="1"/>
  <c r="P45" i="9"/>
  <c r="Q45" i="9" l="1"/>
  <c r="R45" i="9" l="1"/>
  <c r="R29" i="11"/>
  <c r="O29" i="11"/>
  <c r="L29" i="11"/>
  <c r="I29" i="11"/>
  <c r="M28" i="11"/>
  <c r="P27" i="11"/>
  <c r="M27" i="11"/>
  <c r="J27" i="11"/>
  <c r="G27" i="11"/>
  <c r="P29" i="11"/>
  <c r="P23" i="11"/>
  <c r="P22" i="11"/>
  <c r="F6" i="11"/>
  <c r="P24" i="11" l="1"/>
  <c r="AB45" i="9"/>
  <c r="S45" i="9"/>
  <c r="M29" i="11"/>
  <c r="M30" i="11"/>
  <c r="J29" i="11"/>
  <c r="J23" i="11"/>
  <c r="P30" i="11"/>
  <c r="P32" i="11" s="1"/>
  <c r="M19" i="11" l="1"/>
  <c r="M20" i="11"/>
  <c r="I17" i="9" s="1"/>
  <c r="K17" i="9" s="1"/>
  <c r="M18" i="11"/>
  <c r="G20" i="11"/>
  <c r="G21" i="11"/>
  <c r="G18" i="11"/>
  <c r="J21" i="11"/>
  <c r="K12" i="9" s="1"/>
  <c r="M12" i="9" s="1"/>
  <c r="J19" i="11"/>
  <c r="F19" i="11" s="1"/>
  <c r="J18" i="11"/>
  <c r="J20" i="11"/>
  <c r="J22" i="11"/>
  <c r="K19" i="9" s="1"/>
  <c r="M19" i="9" s="1"/>
  <c r="AC45" i="9"/>
  <c r="T45" i="9"/>
  <c r="M22" i="11"/>
  <c r="M21" i="11"/>
  <c r="G23" i="11"/>
  <c r="K22" i="9" s="1"/>
  <c r="M22" i="9" s="1"/>
  <c r="G22" i="11"/>
  <c r="M23" i="11"/>
  <c r="J30" i="11"/>
  <c r="P33" i="11"/>
  <c r="P34" i="11" s="1"/>
  <c r="G29" i="11"/>
  <c r="G30" i="11"/>
  <c r="M17" i="9" l="1"/>
  <c r="J17" i="9"/>
  <c r="N17" i="9"/>
  <c r="F30" i="11"/>
  <c r="J32" i="11"/>
  <c r="J33" i="11" s="1"/>
  <c r="J34" i="11" s="1"/>
  <c r="F22" i="11"/>
  <c r="F20" i="11"/>
  <c r="M24" i="11"/>
  <c r="F18" i="11"/>
  <c r="G24" i="11"/>
  <c r="J24" i="11"/>
  <c r="F21" i="11"/>
  <c r="J12" i="9"/>
  <c r="J19" i="9"/>
  <c r="J22" i="9"/>
  <c r="M44" i="11"/>
  <c r="I10" i="9"/>
  <c r="N12" i="9"/>
  <c r="M32" i="11"/>
  <c r="M33" i="11" s="1"/>
  <c r="M34" i="11" s="1"/>
  <c r="M37" i="11" s="1"/>
  <c r="N19" i="9"/>
  <c r="W19" i="9" s="1"/>
  <c r="AF19" i="9" s="1"/>
  <c r="F23" i="11"/>
  <c r="G32" i="11"/>
  <c r="F29" i="11"/>
  <c r="O17" i="9" l="1"/>
  <c r="P17" i="9" s="1"/>
  <c r="Q17" i="9" s="1"/>
  <c r="R17" i="9" s="1"/>
  <c r="W17" i="9"/>
  <c r="F24" i="11"/>
  <c r="W12" i="9"/>
  <c r="AF12" i="9" s="1"/>
  <c r="M38" i="11"/>
  <c r="M39" i="11"/>
  <c r="O19" i="9"/>
  <c r="O12" i="9"/>
  <c r="P12" i="9" s="1"/>
  <c r="M36" i="11"/>
  <c r="F32" i="11"/>
  <c r="F33" i="11" s="1"/>
  <c r="F34" i="11" s="1"/>
  <c r="N22" i="9"/>
  <c r="W22" i="9" s="1"/>
  <c r="J37" i="11"/>
  <c r="J39" i="11"/>
  <c r="J36" i="11"/>
  <c r="J38" i="11"/>
  <c r="G33" i="11"/>
  <c r="U33" i="11" s="1"/>
  <c r="U32" i="11"/>
  <c r="AF17" i="9" l="1"/>
  <c r="AA17" i="9"/>
  <c r="AJ17" i="9" s="1"/>
  <c r="S17" i="9"/>
  <c r="T17" i="9" s="1"/>
  <c r="P19" i="9"/>
  <c r="Q19" i="9" s="1"/>
  <c r="R19" i="9" s="1"/>
  <c r="S19" i="9" s="1"/>
  <c r="T19" i="9" s="1"/>
  <c r="AG19" i="9"/>
  <c r="AF22" i="9"/>
  <c r="G34" i="11"/>
  <c r="Q12" i="9"/>
  <c r="R12" i="9" s="1"/>
  <c r="AH12" i="9"/>
  <c r="O22" i="9"/>
  <c r="F35" i="11"/>
  <c r="F37" i="11"/>
  <c r="P37" i="11" s="1"/>
  <c r="F39" i="11"/>
  <c r="P39" i="11" s="1"/>
  <c r="F36" i="11"/>
  <c r="P36" i="11" s="1"/>
  <c r="F38" i="11"/>
  <c r="P38" i="11" s="1"/>
  <c r="M35" i="11"/>
  <c r="P35" i="11"/>
  <c r="J35" i="11"/>
  <c r="G35" i="11"/>
  <c r="G37" i="11"/>
  <c r="U34" i="11"/>
  <c r="G39" i="11"/>
  <c r="G36" i="11"/>
  <c r="G38" i="11"/>
  <c r="AM17" i="9" l="1"/>
  <c r="AD17" i="9"/>
  <c r="P22" i="9"/>
  <c r="Q22" i="9" s="1"/>
  <c r="R22" i="9" s="1"/>
  <c r="AJ22" i="9" s="1"/>
  <c r="AG22" i="9"/>
  <c r="S12" i="9"/>
  <c r="T12" i="9" s="1"/>
  <c r="AA12" i="9"/>
  <c r="AJ12" i="9" s="1"/>
  <c r="AM12" i="9" s="1"/>
  <c r="AD19" i="9"/>
  <c r="AM19" i="9"/>
  <c r="AD22" i="9"/>
  <c r="U35" i="11"/>
  <c r="K11" i="9"/>
  <c r="M11" i="9" s="1"/>
  <c r="S22" i="9" l="1"/>
  <c r="T22" i="9" s="1"/>
  <c r="AM22" i="9"/>
  <c r="AD12" i="9"/>
  <c r="J11" i="9"/>
  <c r="N28" i="10"/>
  <c r="M28" i="10"/>
  <c r="L28" i="10"/>
  <c r="K28" i="10"/>
  <c r="J28" i="10"/>
  <c r="I28" i="10"/>
  <c r="H28" i="10"/>
  <c r="G28" i="10"/>
  <c r="F28" i="10"/>
  <c r="E28" i="10"/>
  <c r="D28" i="10"/>
  <c r="C28" i="10"/>
  <c r="B28" i="10"/>
  <c r="N27" i="10"/>
  <c r="L4" i="9" s="1"/>
  <c r="M27" i="10"/>
  <c r="L27" i="10"/>
  <c r="K27" i="10"/>
  <c r="J27" i="10"/>
  <c r="I27" i="10"/>
  <c r="H27" i="10"/>
  <c r="G27" i="10"/>
  <c r="F27" i="10"/>
  <c r="E27" i="10"/>
  <c r="D27" i="10"/>
  <c r="C27" i="10"/>
  <c r="N26" i="10"/>
  <c r="M26" i="10"/>
  <c r="L26" i="10"/>
  <c r="K26" i="10"/>
  <c r="J26" i="10"/>
  <c r="I26" i="10"/>
  <c r="H26" i="10"/>
  <c r="G26" i="10"/>
  <c r="F26" i="10"/>
  <c r="E26" i="10"/>
  <c r="D26" i="10"/>
  <c r="C26" i="10"/>
  <c r="B26" i="10"/>
  <c r="N11" i="9" l="1"/>
  <c r="AD38" i="9"/>
  <c r="AD58" i="9"/>
  <c r="AD57" i="9"/>
  <c r="AD56" i="9"/>
  <c r="AD44" i="9"/>
  <c r="AD9" i="9"/>
  <c r="W11" i="9" l="1"/>
  <c r="W54" i="9"/>
  <c r="V54" i="9"/>
  <c r="V50" i="9"/>
  <c r="V39" i="9"/>
  <c r="V30" i="9"/>
  <c r="V7" i="9"/>
  <c r="I50" i="9"/>
  <c r="K56" i="9"/>
  <c r="J56" i="9" s="1"/>
  <c r="K55" i="9"/>
  <c r="M55" i="9" s="1"/>
  <c r="I54" i="9"/>
  <c r="K44" i="9"/>
  <c r="K42" i="9"/>
  <c r="W42" i="9" s="1"/>
  <c r="AF42" i="9" s="1"/>
  <c r="AM42" i="9" s="1"/>
  <c r="K41" i="9"/>
  <c r="I39" i="9"/>
  <c r="K38" i="9"/>
  <c r="J38" i="9" s="1"/>
  <c r="K37" i="9"/>
  <c r="M37" i="9" s="1"/>
  <c r="K36" i="9"/>
  <c r="I33" i="9"/>
  <c r="K9" i="9"/>
  <c r="M9" i="9" s="1"/>
  <c r="K32" i="9"/>
  <c r="J32" i="9" s="1"/>
  <c r="I30" i="9"/>
  <c r="K25" i="9"/>
  <c r="K14" i="9"/>
  <c r="M14" i="9" s="1"/>
  <c r="K8" i="9"/>
  <c r="M8" i="9" s="1"/>
  <c r="I7" i="9"/>
  <c r="M7" i="9" l="1"/>
  <c r="N8" i="9"/>
  <c r="K24" i="9"/>
  <c r="M25" i="9"/>
  <c r="J41" i="9"/>
  <c r="W41" i="9"/>
  <c r="AF41" i="9" s="1"/>
  <c r="AF11" i="9"/>
  <c r="J36" i="9"/>
  <c r="M36" i="9"/>
  <c r="N36" i="9" s="1"/>
  <c r="J25" i="9"/>
  <c r="N14" i="9"/>
  <c r="O11" i="9"/>
  <c r="Y39" i="9"/>
  <c r="X7" i="9"/>
  <c r="X54" i="9"/>
  <c r="W7" i="9"/>
  <c r="M38" i="9"/>
  <c r="M32" i="9"/>
  <c r="J9" i="9"/>
  <c r="K50" i="9"/>
  <c r="J44" i="9"/>
  <c r="J55" i="9"/>
  <c r="K54" i="9"/>
  <c r="N55" i="9"/>
  <c r="M56" i="9"/>
  <c r="J42" i="9"/>
  <c r="K39" i="9"/>
  <c r="M44" i="9"/>
  <c r="M41" i="9"/>
  <c r="M42" i="9"/>
  <c r="K33" i="9"/>
  <c r="J37" i="9"/>
  <c r="N37" i="9"/>
  <c r="N9" i="9"/>
  <c r="O9" i="9" s="1"/>
  <c r="P9" i="9" s="1"/>
  <c r="Q9" i="9" s="1"/>
  <c r="R9" i="9" s="1"/>
  <c r="S9" i="9" s="1"/>
  <c r="T9" i="9" s="1"/>
  <c r="K30" i="9"/>
  <c r="M31" i="9"/>
  <c r="J14" i="9"/>
  <c r="O8" i="9"/>
  <c r="K7" i="9"/>
  <c r="J8" i="9"/>
  <c r="N7" i="9" l="1"/>
  <c r="P8" i="9"/>
  <c r="P7" i="9" s="1"/>
  <c r="O7" i="9"/>
  <c r="M30" i="9"/>
  <c r="AM41" i="9"/>
  <c r="AF39" i="9"/>
  <c r="AM39" i="9" s="1"/>
  <c r="W14" i="9"/>
  <c r="AF14" i="9" s="1"/>
  <c r="M24" i="9"/>
  <c r="Y7" i="9"/>
  <c r="J24" i="9"/>
  <c r="N25" i="9"/>
  <c r="O14" i="9"/>
  <c r="P14" i="9" s="1"/>
  <c r="P11" i="9"/>
  <c r="Q11" i="9" s="1"/>
  <c r="R11" i="9" s="1"/>
  <c r="AD40" i="9"/>
  <c r="O37" i="9"/>
  <c r="O36" i="9"/>
  <c r="N41" i="9"/>
  <c r="N44" i="9"/>
  <c r="O44" i="9" s="1"/>
  <c r="P44" i="9" s="1"/>
  <c r="Q44" i="9" s="1"/>
  <c r="R44" i="9" s="1"/>
  <c r="S44" i="9" s="1"/>
  <c r="T44" i="9" s="1"/>
  <c r="Z39" i="9"/>
  <c r="Y54" i="9"/>
  <c r="J50" i="9"/>
  <c r="M50" i="9"/>
  <c r="J54" i="9"/>
  <c r="M54" i="9"/>
  <c r="O55" i="9"/>
  <c r="N56" i="9"/>
  <c r="O56" i="9" s="1"/>
  <c r="P56" i="9" s="1"/>
  <c r="Q56" i="9" s="1"/>
  <c r="R56" i="9" s="1"/>
  <c r="S56" i="9" s="1"/>
  <c r="T56" i="9" s="1"/>
  <c r="J39" i="9"/>
  <c r="N42" i="9"/>
  <c r="M39" i="9"/>
  <c r="J33" i="9"/>
  <c r="M33" i="9"/>
  <c r="N38" i="9"/>
  <c r="O38" i="9" s="1"/>
  <c r="P38" i="9" s="1"/>
  <c r="Q38" i="9" s="1"/>
  <c r="R38" i="9" s="1"/>
  <c r="S38" i="9" s="1"/>
  <c r="T38" i="9" s="1"/>
  <c r="J30" i="9"/>
  <c r="N31" i="9"/>
  <c r="AF31" i="9" s="1"/>
  <c r="N32" i="9"/>
  <c r="O32" i="9" s="1"/>
  <c r="J7" i="9"/>
  <c r="Q8" i="9" l="1"/>
  <c r="N24" i="9"/>
  <c r="W25" i="9"/>
  <c r="P32" i="9"/>
  <c r="S11" i="9"/>
  <c r="T11" i="9" s="1"/>
  <c r="AA11" i="9"/>
  <c r="AD11" i="9" s="1"/>
  <c r="R8" i="9"/>
  <c r="AF30" i="9"/>
  <c r="O25" i="9"/>
  <c r="AH8" i="9"/>
  <c r="X10" i="9"/>
  <c r="AG11" i="9"/>
  <c r="Q14" i="9"/>
  <c r="R14" i="9" s="1"/>
  <c r="AA14" i="9" s="1"/>
  <c r="AD51" i="9"/>
  <c r="W50" i="9"/>
  <c r="O41" i="9"/>
  <c r="P41" i="9" s="1"/>
  <c r="Q41" i="9" s="1"/>
  <c r="R41" i="9" s="1"/>
  <c r="S41" i="9" s="1"/>
  <c r="T41" i="9" s="1"/>
  <c r="O42" i="9"/>
  <c r="P42" i="9" s="1"/>
  <c r="Q42" i="9" s="1"/>
  <c r="R42" i="9" s="1"/>
  <c r="S42" i="9" s="1"/>
  <c r="T42" i="9" s="1"/>
  <c r="AD42" i="9"/>
  <c r="P36" i="9"/>
  <c r="W30" i="9"/>
  <c r="P37" i="9"/>
  <c r="AA39" i="9"/>
  <c r="Z54" i="9"/>
  <c r="N50" i="9"/>
  <c r="N54" i="9"/>
  <c r="P55" i="9"/>
  <c r="O54" i="9"/>
  <c r="N39" i="9"/>
  <c r="N33" i="9"/>
  <c r="O31" i="9"/>
  <c r="N30" i="9"/>
  <c r="Q32" i="9" l="1"/>
  <c r="R32" i="9" s="1"/>
  <c r="S32" i="9" s="1"/>
  <c r="T32" i="9" s="1"/>
  <c r="Y32" i="9"/>
  <c r="AH32" i="9" s="1"/>
  <c r="S8" i="9"/>
  <c r="R7" i="9"/>
  <c r="Q7" i="9"/>
  <c r="Z8" i="9"/>
  <c r="AI8" i="9" s="1"/>
  <c r="AI7" i="9" s="1"/>
  <c r="AG31" i="9"/>
  <c r="AG32" i="9"/>
  <c r="AM32" i="9" s="1"/>
  <c r="AD32" i="9"/>
  <c r="O24" i="9"/>
  <c r="X24" i="9"/>
  <c r="AJ11" i="9"/>
  <c r="AM11" i="9" s="1"/>
  <c r="P25" i="9"/>
  <c r="Q25" i="9" s="1"/>
  <c r="AI25" i="9" s="1"/>
  <c r="AH7" i="9"/>
  <c r="AA10" i="9"/>
  <c r="AJ14" i="9"/>
  <c r="AG10" i="9"/>
  <c r="W24" i="9"/>
  <c r="AF25" i="9"/>
  <c r="Y10" i="9"/>
  <c r="AH14" i="9"/>
  <c r="S14" i="9"/>
  <c r="T14" i="9" s="1"/>
  <c r="AD14" i="9"/>
  <c r="X50" i="9"/>
  <c r="Y50" i="9"/>
  <c r="W39" i="9"/>
  <c r="AD41" i="9"/>
  <c r="P33" i="9"/>
  <c r="X39" i="9"/>
  <c r="Q37" i="9"/>
  <c r="Q36" i="9"/>
  <c r="O33" i="9"/>
  <c r="AA7" i="9"/>
  <c r="V33" i="9"/>
  <c r="AB39" i="9"/>
  <c r="AC39" i="9"/>
  <c r="O50" i="9"/>
  <c r="Q55" i="9"/>
  <c r="P54" i="9"/>
  <c r="O39" i="9"/>
  <c r="P31" i="9"/>
  <c r="Y31" i="9" s="1"/>
  <c r="AH31" i="9" s="1"/>
  <c r="AH30" i="9" s="1"/>
  <c r="O30" i="9"/>
  <c r="AD8" i="9" l="1"/>
  <c r="Z7" i="9"/>
  <c r="AM8" i="9"/>
  <c r="AM7" i="9"/>
  <c r="T8" i="9"/>
  <c r="T7" i="9" s="1"/>
  <c r="S7" i="9"/>
  <c r="AG25" i="9"/>
  <c r="AG24" i="9" s="1"/>
  <c r="AJ10" i="9"/>
  <c r="AG30" i="9"/>
  <c r="AM30" i="9" s="1"/>
  <c r="AM31" i="9"/>
  <c r="P24" i="9"/>
  <c r="Y24" i="9"/>
  <c r="X30" i="9"/>
  <c r="AF24" i="9"/>
  <c r="AH10" i="9"/>
  <c r="AM14" i="9"/>
  <c r="R25" i="9"/>
  <c r="AJ25" i="9" s="1"/>
  <c r="Q24" i="9"/>
  <c r="Z50" i="9"/>
  <c r="Y30" i="9"/>
  <c r="R37" i="9"/>
  <c r="S37" i="9" s="1"/>
  <c r="T37" i="9" s="1"/>
  <c r="AD39" i="9"/>
  <c r="R36" i="9"/>
  <c r="S36" i="9" s="1"/>
  <c r="T36" i="9" s="1"/>
  <c r="W33" i="9"/>
  <c r="AB30" i="9"/>
  <c r="AC30" i="9"/>
  <c r="AB7" i="9"/>
  <c r="AC7" i="9"/>
  <c r="AB54" i="9"/>
  <c r="AC54" i="9"/>
  <c r="P50" i="9"/>
  <c r="R55" i="9"/>
  <c r="AA55" i="9" s="1"/>
  <c r="Q54" i="9"/>
  <c r="P39" i="9"/>
  <c r="Q31" i="9"/>
  <c r="Z30" i="9" s="1"/>
  <c r="P30" i="9"/>
  <c r="AH25" i="9" l="1"/>
  <c r="AH24" i="9" s="1"/>
  <c r="AG59" i="9"/>
  <c r="AD7" i="9"/>
  <c r="AJ55" i="9"/>
  <c r="AD55" i="9"/>
  <c r="AA54" i="9"/>
  <c r="AD54" i="9" s="1"/>
  <c r="AH59" i="9"/>
  <c r="Z24" i="9"/>
  <c r="AI24" i="9"/>
  <c r="S25" i="9"/>
  <c r="R24" i="9"/>
  <c r="AD37" i="9"/>
  <c r="R33" i="9"/>
  <c r="Q33" i="9"/>
  <c r="X33" i="9"/>
  <c r="Q50" i="9"/>
  <c r="S55" i="9"/>
  <c r="R54" i="9"/>
  <c r="Q39" i="9"/>
  <c r="R31" i="9"/>
  <c r="Q30" i="9"/>
  <c r="AK25" i="9" l="1"/>
  <c r="AB24" i="9"/>
  <c r="AJ54" i="9"/>
  <c r="AM54" i="9" s="1"/>
  <c r="AM55" i="9"/>
  <c r="AJ24" i="9"/>
  <c r="AA24" i="9"/>
  <c r="T25" i="9"/>
  <c r="S24" i="9"/>
  <c r="AA50" i="9"/>
  <c r="AC52" i="9"/>
  <c r="AD52" i="9" s="1"/>
  <c r="AB50" i="9"/>
  <c r="AA30" i="9"/>
  <c r="AD30" i="9" s="1"/>
  <c r="AD31" i="9"/>
  <c r="Y33" i="9"/>
  <c r="R50" i="9"/>
  <c r="T55" i="9"/>
  <c r="T54" i="9" s="1"/>
  <c r="S54" i="9"/>
  <c r="R39" i="9"/>
  <c r="S31" i="9"/>
  <c r="R30" i="9"/>
  <c r="AJ59" i="9" l="1"/>
  <c r="T24" i="9"/>
  <c r="AK24" i="9"/>
  <c r="AK59" i="9" s="1"/>
  <c r="AC50" i="9"/>
  <c r="AD50" i="9" s="1"/>
  <c r="AL52" i="9"/>
  <c r="AD36" i="9"/>
  <c r="AD34" i="9"/>
  <c r="S33" i="9"/>
  <c r="Z33" i="9"/>
  <c r="T50" i="9"/>
  <c r="S50" i="9"/>
  <c r="T39" i="9"/>
  <c r="S39" i="9"/>
  <c r="T31" i="9"/>
  <c r="T30" i="9" s="1"/>
  <c r="S30" i="9"/>
  <c r="AL25" i="9" l="1"/>
  <c r="AC24" i="9"/>
  <c r="AD24" i="9" s="1"/>
  <c r="AD25" i="9"/>
  <c r="AL50" i="9"/>
  <c r="AM52" i="9"/>
  <c r="AD35" i="9"/>
  <c r="T33" i="9"/>
  <c r="AA33" i="9"/>
  <c r="AL24" i="9" l="1"/>
  <c r="AM24" i="9" s="1"/>
  <c r="AM25" i="9"/>
  <c r="AL59" i="9"/>
  <c r="AM50" i="9"/>
  <c r="AC33" i="9"/>
  <c r="AC59" i="9" s="1"/>
  <c r="AB33" i="9"/>
  <c r="AB59" i="9" s="1"/>
  <c r="AD33" i="9" l="1"/>
  <c r="I59" i="9" l="1"/>
  <c r="M10" i="9" l="1"/>
  <c r="K10" i="9"/>
  <c r="K59" i="9" s="1"/>
  <c r="V59" i="9"/>
  <c r="J10" i="9" l="1"/>
  <c r="J59" i="9" s="1"/>
  <c r="M59" i="9"/>
  <c r="AF10" i="9"/>
  <c r="AF59" i="9" s="1"/>
  <c r="W10" i="9" l="1"/>
  <c r="N10" i="9"/>
  <c r="N59" i="9" s="1"/>
  <c r="O10" i="9"/>
  <c r="O59" i="9" l="1"/>
  <c r="P10" i="9"/>
  <c r="P59" i="9" l="1"/>
  <c r="AI10" i="9" l="1"/>
  <c r="Z10" i="9"/>
  <c r="Q10" i="9"/>
  <c r="Q59" i="9" s="1"/>
  <c r="R10" i="9"/>
  <c r="AI59" i="9" l="1"/>
  <c r="AM59" i="9" s="1"/>
  <c r="AM10" i="9"/>
  <c r="AD10" i="9"/>
  <c r="R59" i="9"/>
  <c r="S10" i="9"/>
  <c r="S59" i="9" l="1"/>
  <c r="T10" i="9" l="1"/>
  <c r="T59" i="9" s="1"/>
  <c r="Y45" i="9" l="1"/>
  <c r="Y59" i="9" s="1"/>
  <c r="X45" i="9"/>
  <c r="X59" i="9" s="1"/>
  <c r="Z45" i="9"/>
  <c r="Z59" i="9" s="1"/>
  <c r="AA45" i="9"/>
  <c r="AA59" i="9" s="1"/>
  <c r="W45" i="9"/>
  <c r="W59" i="9" s="1"/>
  <c r="AD45" i="9" l="1"/>
  <c r="AD59" i="9"/>
</calcChain>
</file>

<file path=xl/sharedStrings.xml><?xml version="1.0" encoding="utf-8"?>
<sst xmlns="http://schemas.openxmlformats.org/spreadsheetml/2006/main" count="250" uniqueCount="148">
  <si>
    <t>Standort</t>
  </si>
  <si>
    <t>zzgl. gesetzl. MwSt.</t>
  </si>
  <si>
    <t>Budgetverteilung</t>
  </si>
  <si>
    <t>Budget, netto</t>
  </si>
  <si>
    <t>Budget, brutto</t>
  </si>
  <si>
    <t>02 Nachfrageorientierte Bestattungsangebote</t>
  </si>
  <si>
    <t>01 Friedhofsentwicklung und Flächenbedarf</t>
  </si>
  <si>
    <t>04 Gebäudebewirtschaftung (Trauerhallen), Mediale Ausstattung</t>
  </si>
  <si>
    <t>12 Friedhofsgebühren (Optimierung)</t>
  </si>
  <si>
    <t>11 Öffentlichkeitsarbeit und Service</t>
  </si>
  <si>
    <t>Steigerung fortlaufende Schätzung (Glaskugel)</t>
  </si>
  <si>
    <t>Bemerkungen</t>
  </si>
  <si>
    <t>Kalkulations-bezug</t>
  </si>
  <si>
    <t>Netto</t>
  </si>
  <si>
    <t>Umsatzsteuer</t>
  </si>
  <si>
    <t>Brutto</t>
  </si>
  <si>
    <t>Summen</t>
  </si>
  <si>
    <t xml:space="preserve">Stand: </t>
  </si>
  <si>
    <t>Modul</t>
  </si>
  <si>
    <t>Summe</t>
  </si>
  <si>
    <t>Baupreisindizes: Deutschland, Jahre, Messzahlen mit/ohne
Umsatzsteuer, Außenanlagen</t>
  </si>
  <si>
    <t>Preisindizes für die Bauwirtschaft</t>
  </si>
  <si>
    <t>Deutschland</t>
  </si>
  <si>
    <t>Baupreisindizes (2015=100)</t>
  </si>
  <si>
    <t>Außenanlagen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</si>
  <si>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</si>
  <si>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</si>
  <si>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</si>
  <si>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</si>
  <si>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</si>
  <si>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</si>
  <si>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</si>
  <si>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</si>
  <si>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</si>
  <si>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</si>
  <si>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</si>
  <si>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</si>
  <si>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Indizes ohne Umsatzsteuer</t>
  </si>
  <si>
    <t>Außenanlagen für Wohngebäude</t>
  </si>
  <si>
    <t>Erdarbeiten</t>
  </si>
  <si>
    <t>Entwässerungskanalarbeiten</t>
  </si>
  <si>
    <t>Verkehrswegebau, Oberbauschichten ohne Bindemittel</t>
  </si>
  <si>
    <t>Verkehrswegebau, Oberbausch. m. hydr. Bindemittel</t>
  </si>
  <si>
    <t>-</t>
  </si>
  <si>
    <t>Verkehrswegebau, Oberbauschichten aus Asphalt</t>
  </si>
  <si>
    <t>Verkehrswegebau, Pflaster, Platten, Einfassungen</t>
  </si>
  <si>
    <t>Landschaftsbauarbeiten</t>
  </si>
  <si>
    <t>Mauerarbeiten</t>
  </si>
  <si>
    <t>Betonarbeiten</t>
  </si>
  <si>
    <t>Zimmer- und Holzbauarbeiten</t>
  </si>
  <si>
    <t>Naturwerksteinarbeiten</t>
  </si>
  <si>
    <t>Betonwerksteinarbeiten</t>
  </si>
  <si>
    <t>Metallbauarbeiten</t>
  </si>
  <si>
    <t>Nieder- und Mittelspannungsanlagen bis 36 kV</t>
  </si>
  <si>
    <t>______________</t>
  </si>
  <si>
    <t>Bis 1990: Früheres Bundesgebiet.</t>
  </si>
  <si>
    <t>© Statistisches Bundesamt (Destatis), 2023 | Stand: 01.03.2023 / 13:54:09</t>
  </si>
  <si>
    <t>Preisindizes für die Bauwirtschaft, Außenanlagen</t>
  </si>
  <si>
    <t>Steigerung von Jahr zu Jahr</t>
  </si>
  <si>
    <t>Entwicklung Baupreisindizis Außenanlagen</t>
  </si>
  <si>
    <t>Erwartete jährliche Kostensteigerung (brutto)</t>
  </si>
  <si>
    <t>gemäß Preisindizes für die Bauwirtschaft</t>
  </si>
  <si>
    <t>Geplante neue Grabarten</t>
  </si>
  <si>
    <t>Anmerkungen</t>
  </si>
  <si>
    <t>Baum- und Hainbestattungen (Urne)</t>
  </si>
  <si>
    <t>Ausbaustandard: mittel-hochwertig</t>
  </si>
  <si>
    <t>Baum- und Hainbestattungen (Sarg)</t>
  </si>
  <si>
    <t>Ausbaustandard: hochwertig</t>
  </si>
  <si>
    <t>Pflegeleichte Grabstätten</t>
  </si>
  <si>
    <t>Ausbaustandard: einfach</t>
  </si>
  <si>
    <t>Ausbaustandard: hochwertig und kleinteilig</t>
  </si>
  <si>
    <t>Urnenfächer als Stelenanlage</t>
  </si>
  <si>
    <t>Ausbaustandard: sehr hochwertig und kleinteilig</t>
  </si>
  <si>
    <t>Urnenfächer als Wandanlage</t>
  </si>
  <si>
    <t>Bei Kleinstanlagen notwendiger Aufschlag (Faktor)</t>
  </si>
  <si>
    <t>Mehrkosten durch mehrfache Rüst- und Einrichtungskosten sowie höhere Materialkosten</t>
  </si>
  <si>
    <t>Friedhöfe</t>
  </si>
  <si>
    <t>Größe</t>
  </si>
  <si>
    <t>Bestattungen</t>
  </si>
  <si>
    <t>Baum- und Hainbestattungen</t>
  </si>
  <si>
    <t>Pflegeleichte Grabstätten (Sarg / Urne)</t>
  </si>
  <si>
    <t>Urnenfächer (für 2 Urnen o. 3 Kapseln)</t>
  </si>
  <si>
    <t>Hektar</t>
  </si>
  <si>
    <t>(Ø 2018-2022)</t>
  </si>
  <si>
    <t>€ / netto / Friedhof</t>
  </si>
  <si>
    <t xml:space="preserve">€ / netto </t>
  </si>
  <si>
    <t>Grabanzahl</t>
  </si>
  <si>
    <t>Nettobausummen</t>
  </si>
  <si>
    <t>Pflegekosten je Grabstätte</t>
  </si>
  <si>
    <t>17 Jahre Mahd, Räumen, Rückbau</t>
  </si>
  <si>
    <t>20 Jahre Räumen, Säubern, Endbeisetzung</t>
  </si>
  <si>
    <t xml:space="preserve">Grabkennzeichnung je Grabstätte </t>
  </si>
  <si>
    <t>inkl. Erstbeschriftung</t>
  </si>
  <si>
    <t>Grabnutzungsberechtigte</t>
  </si>
  <si>
    <t>Pflegekosten (Summe)</t>
  </si>
  <si>
    <t>Grabkennzeichnung je Grabstätte (Summe)</t>
  </si>
  <si>
    <t xml:space="preserve">Budget, brutto mit Kostensteigerung </t>
  </si>
  <si>
    <t>Kassel, 26.02.2024</t>
  </si>
  <si>
    <t xml:space="preserve">Hochwertige Urnengemeinschaft </t>
  </si>
  <si>
    <t>nicht vorgesehen</t>
  </si>
  <si>
    <t>Nettokosten/ Grabstätte</t>
  </si>
  <si>
    <t>Start mit 25 Grabstätten</t>
  </si>
  <si>
    <t>Aufbau Marketingkonzept</t>
  </si>
  <si>
    <t>AG</t>
  </si>
  <si>
    <t>Quelle</t>
  </si>
  <si>
    <t>PRV</t>
  </si>
  <si>
    <t>Alle Friedhöfe</t>
  </si>
  <si>
    <t>07 Digitalisierung</t>
  </si>
  <si>
    <t>03 Sanierungsmaßnahmen Außenanlagen</t>
  </si>
  <si>
    <t>03 Rückbaumaßnahmen Außenanlagen</t>
  </si>
  <si>
    <t>Haushaltsmittelplanung (brutto) gerundet</t>
  </si>
  <si>
    <t>Finanz / Ergebnis</t>
  </si>
  <si>
    <t>Fortschreibung FEP im Jahr 2028</t>
  </si>
  <si>
    <t xml:space="preserve">F363a Friedhöfe Willich - Nachfrageorientierte Bestattungsangebote (überschlägig ermittelte Nettobaukosten) </t>
  </si>
  <si>
    <t>Überschlägige Kostenermittlung für das Jahr 2024</t>
  </si>
  <si>
    <t>Neersen</t>
  </si>
  <si>
    <t>Wegerückbau</t>
  </si>
  <si>
    <t>Rückbau Ausstattungselemente</t>
  </si>
  <si>
    <t>Willich</t>
  </si>
  <si>
    <t>Anrath</t>
  </si>
  <si>
    <t>Schiefbahn</t>
  </si>
  <si>
    <t>Wegesanierung (kontinuierliche Erneuerung von Teilflächen)</t>
  </si>
  <si>
    <t>08 Maschinen und Fahrzeuge (Gemeinschaftsbetriebe Willich (GBW))</t>
  </si>
  <si>
    <t xml:space="preserve">Erneuerung Fahrzeug- und Maschinenpark </t>
  </si>
  <si>
    <t>gem. Anmeldung Wirtschaftsplan 2024</t>
  </si>
  <si>
    <t>Überarbeitung Gebührenkalkulation (Eigenleistung?)</t>
  </si>
  <si>
    <t>Kostenentwicklung von 2023 bis ??</t>
  </si>
  <si>
    <t xml:space="preserve">Steigerung der Kostenplanung 2024 auf das Jahr ???? </t>
  </si>
  <si>
    <t>zzgl. Kostensteigerung Jahr ???</t>
  </si>
  <si>
    <t xml:space="preserve">Quelle: </t>
  </si>
  <si>
    <t>Start mit 20 Grabstätten</t>
  </si>
  <si>
    <t>Start mit 15 Grabstätten</t>
  </si>
  <si>
    <t>80 Grabstätten für 160 Urnen</t>
  </si>
  <si>
    <t>40 Grabstätten für 80 Urnen</t>
  </si>
  <si>
    <t>20 Grabstätten für 40 Urnen</t>
  </si>
  <si>
    <t>Hochwertige Urnengemeinschaft</t>
  </si>
  <si>
    <t>Erwartete Kostensteigerungen gegenüber dem Kalkulationsjahr 2024</t>
  </si>
  <si>
    <t>Haushaltsmittelplanung - Berechnung (brutto) inkl. Kostensteigerungen</t>
  </si>
  <si>
    <t>Friedhöfe Willich - Budgetplanung 2025 bis 2031</t>
  </si>
  <si>
    <t>Modernisierung / Visuelle Medientechnik</t>
  </si>
  <si>
    <t>Kassel, 03.07.2024</t>
  </si>
  <si>
    <t>924.000 Euro</t>
  </si>
  <si>
    <t>Hier nur zur Information aufgeführt.</t>
  </si>
  <si>
    <r>
      <t xml:space="preserve">Pflege Marketinkonzept, </t>
    </r>
    <r>
      <rPr>
        <b/>
        <sz val="10"/>
        <rFont val="Arial"/>
        <family val="2"/>
      </rPr>
      <t>jährlich</t>
    </r>
  </si>
  <si>
    <t>Gem. Bedarfsermittlung AG</t>
  </si>
  <si>
    <t>50 Kammern inkl. Umfeld</t>
  </si>
  <si>
    <t>30 Kammern inkl. Umfeld</t>
  </si>
  <si>
    <t>20 Kammern inkl. 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</si>
</sst>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color theme="1"/>
      <name val="Arial"/>
      <family val="2"/>
    </font>
    <font>
      <sz val="10"/>
      <color indexed="8"/>
      <name val="Calibri"/>
      <family val="2"/>
      <scheme val="minor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5" fillId="0" borderId="0" applyFont="0" applyFill="0" applyBorder="0" applyAlignment="0" applyProtection="0"/>
    <xf numFmtId="0" fontId="10" fillId="0" borderId="0"/>
    <xf numFmtId="44" fontId="5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0" applyFont="1" applyAlignment="1">
      <alignment horizontal="center" vertical="top"/>
    </xf>
    <xf numFmtId="0" fontId="4" fillId="0" borderId="0" xfId="0" applyFont="1"/>
    <xf numFmtId="0" fontId="6" fillId="0" borderId="0" xfId="0" applyFont="1"/>
    <xf numFmtId="164" fontId="4" fillId="0" borderId="0" xfId="0" applyNumberFormat="1" applyFont="1"/>
    <xf numFmtId="0" fontId="4" fillId="0" borderId="0" xfId="0" applyFont="1" applyBorder="1"/>
    <xf numFmtId="0" fontId="8" fillId="0" borderId="0" xfId="0" applyFont="1" applyAlignment="1">
      <alignment vertical="center"/>
    </xf>
    <xf numFmtId="0" fontId="7" fillId="3" borderId="0" xfId="0" applyFont="1" applyFill="1"/>
    <xf numFmtId="0" fontId="7" fillId="0" borderId="0" xfId="0" applyFont="1"/>
    <xf numFmtId="0" fontId="7" fillId="3" borderId="0" xfId="0" applyFont="1" applyFill="1" applyAlignment="1">
      <alignment horizontal="center"/>
    </xf>
    <xf numFmtId="164" fontId="7" fillId="0" borderId="0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5" fontId="7" fillId="3" borderId="0" xfId="0" applyNumberFormat="1" applyFont="1" applyFill="1" applyAlignment="1">
      <alignment horizontal="right"/>
    </xf>
    <xf numFmtId="0" fontId="7" fillId="0" borderId="0" xfId="2" applyFont="1"/>
    <xf numFmtId="0" fontId="7" fillId="0" borderId="12" xfId="2" applyFont="1" applyBorder="1" applyAlignment="1">
      <alignment horizontal="center" vertical="center" wrapText="1"/>
    </xf>
    <xf numFmtId="49" fontId="7" fillId="4" borderId="14" xfId="2" applyNumberFormat="1" applyFont="1" applyFill="1" applyBorder="1" applyAlignment="1">
      <alignment horizontal="left"/>
    </xf>
    <xf numFmtId="0" fontId="7" fillId="4" borderId="0" xfId="2" applyFont="1" applyFill="1" applyAlignment="1">
      <alignment horizontal="right"/>
    </xf>
    <xf numFmtId="49" fontId="7" fillId="0" borderId="14" xfId="2" applyNumberFormat="1" applyFont="1" applyBorder="1" applyAlignment="1">
      <alignment horizontal="left"/>
    </xf>
    <xf numFmtId="0" fontId="7" fillId="0" borderId="0" xfId="2" applyFont="1" applyAlignment="1">
      <alignment horizontal="right"/>
    </xf>
    <xf numFmtId="49" fontId="7" fillId="0" borderId="0" xfId="2" applyNumberFormat="1" applyFont="1" applyAlignment="1">
      <alignment horizontal="left"/>
    </xf>
    <xf numFmtId="49" fontId="11" fillId="0" borderId="0" xfId="2" applyNumberFormat="1" applyFont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9" fontId="6" fillId="0" borderId="0" xfId="1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9" fontId="3" fillId="0" borderId="0" xfId="1" applyFont="1" applyAlignment="1">
      <alignment horizontal="left" vertical="top"/>
    </xf>
    <xf numFmtId="0" fontId="6" fillId="0" borderId="0" xfId="0" applyFont="1" applyBorder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center"/>
    </xf>
    <xf numFmtId="44" fontId="3" fillId="0" borderId="0" xfId="3" applyFont="1"/>
    <xf numFmtId="44" fontId="3" fillId="0" borderId="0" xfId="3" applyFont="1" applyFill="1"/>
    <xf numFmtId="0" fontId="3" fillId="0" borderId="0" xfId="3" applyNumberFormat="1" applyFont="1"/>
    <xf numFmtId="0" fontId="6" fillId="0" borderId="0" xfId="0" applyFont="1" applyBorder="1" applyAlignment="1">
      <alignment horizontal="left" wrapText="1"/>
    </xf>
    <xf numFmtId="0" fontId="3" fillId="0" borderId="0" xfId="0" applyFont="1" applyAlignment="1"/>
    <xf numFmtId="0" fontId="6" fillId="0" borderId="0" xfId="0" applyFont="1" applyBorder="1" applyAlignment="1">
      <alignment horizontal="center" wrapText="1"/>
    </xf>
    <xf numFmtId="0" fontId="3" fillId="5" borderId="16" xfId="0" applyFont="1" applyFill="1" applyBorder="1" applyAlignment="1"/>
    <xf numFmtId="0" fontId="3" fillId="5" borderId="17" xfId="0" applyFont="1" applyFill="1" applyBorder="1" applyAlignment="1"/>
    <xf numFmtId="0" fontId="3" fillId="5" borderId="18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164" fontId="3" fillId="5" borderId="19" xfId="0" applyNumberFormat="1" applyFont="1" applyFill="1" applyBorder="1" applyAlignment="1">
      <alignment horizontal="center"/>
    </xf>
    <xf numFmtId="164" fontId="3" fillId="5" borderId="20" xfId="0" applyNumberFormat="1" applyFont="1" applyFill="1" applyBorder="1" applyAlignment="1">
      <alignment horizontal="center"/>
    </xf>
    <xf numFmtId="164" fontId="3" fillId="5" borderId="18" xfId="0" applyNumberFormat="1" applyFont="1" applyFill="1" applyBorder="1" applyAlignment="1">
      <alignment horizontal="center"/>
    </xf>
    <xf numFmtId="164" fontId="3" fillId="5" borderId="19" xfId="0" applyNumberFormat="1" applyFont="1" applyFill="1" applyBorder="1" applyAlignment="1">
      <alignment horizontal="left"/>
    </xf>
    <xf numFmtId="0" fontId="3" fillId="0" borderId="21" xfId="0" applyFont="1" applyFill="1" applyBorder="1"/>
    <xf numFmtId="0" fontId="12" fillId="0" borderId="6" xfId="0" applyFont="1" applyFill="1" applyBorder="1"/>
    <xf numFmtId="2" fontId="7" fillId="0" borderId="6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64" fontId="3" fillId="0" borderId="22" xfId="0" applyNumberFormat="1" applyFont="1" applyBorder="1" applyAlignment="1">
      <alignment horizontal="right"/>
    </xf>
    <xf numFmtId="164" fontId="3" fillId="0" borderId="23" xfId="0" applyNumberFormat="1" applyFont="1" applyBorder="1" applyAlignment="1">
      <alignment horizontal="right"/>
    </xf>
    <xf numFmtId="3" fontId="3" fillId="0" borderId="24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left"/>
    </xf>
    <xf numFmtId="164" fontId="3" fillId="0" borderId="0" xfId="0" applyNumberFormat="1" applyFont="1"/>
    <xf numFmtId="0" fontId="7" fillId="0" borderId="6" xfId="0" applyFont="1" applyFill="1" applyBorder="1"/>
    <xf numFmtId="3" fontId="3" fillId="0" borderId="24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right"/>
    </xf>
    <xf numFmtId="0" fontId="6" fillId="5" borderId="25" xfId="0" applyFont="1" applyFill="1" applyBorder="1"/>
    <xf numFmtId="0" fontId="13" fillId="5" borderId="26" xfId="0" applyFont="1" applyFill="1" applyBorder="1"/>
    <xf numFmtId="2" fontId="14" fillId="5" borderId="26" xfId="0" applyNumberFormat="1" applyFont="1" applyFill="1" applyBorder="1" applyAlignment="1">
      <alignment horizontal="center"/>
    </xf>
    <xf numFmtId="1" fontId="14" fillId="5" borderId="26" xfId="0" applyNumberFormat="1" applyFont="1" applyFill="1" applyBorder="1" applyAlignment="1">
      <alignment horizontal="center"/>
    </xf>
    <xf numFmtId="164" fontId="6" fillId="5" borderId="27" xfId="0" applyNumberFormat="1" applyFont="1" applyFill="1" applyBorder="1" applyAlignment="1">
      <alignment horizontal="right"/>
    </xf>
    <xf numFmtId="164" fontId="6" fillId="5" borderId="25" xfId="0" applyNumberFormat="1" applyFont="1" applyFill="1" applyBorder="1" applyAlignment="1">
      <alignment horizontal="right"/>
    </xf>
    <xf numFmtId="3" fontId="6" fillId="5" borderId="26" xfId="0" applyNumberFormat="1" applyFont="1" applyFill="1" applyBorder="1" applyAlignment="1">
      <alignment horizontal="center"/>
    </xf>
    <xf numFmtId="164" fontId="6" fillId="5" borderId="27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12" fillId="0" borderId="0" xfId="0" applyFont="1" applyFill="1" applyBorder="1"/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3" fillId="5" borderId="5" xfId="0" applyFont="1" applyFill="1" applyBorder="1"/>
    <xf numFmtId="0" fontId="3" fillId="5" borderId="2" xfId="0" applyFont="1" applyFill="1" applyBorder="1" applyAlignment="1">
      <alignment horizontal="center" vertical="top"/>
    </xf>
    <xf numFmtId="164" fontId="3" fillId="5" borderId="7" xfId="0" applyNumberFormat="1" applyFont="1" applyFill="1" applyBorder="1" applyAlignment="1">
      <alignment horizontal="right"/>
    </xf>
    <xf numFmtId="164" fontId="3" fillId="5" borderId="2" xfId="0" applyNumberFormat="1" applyFont="1" applyFill="1" applyBorder="1" applyAlignment="1">
      <alignment horizontal="right"/>
    </xf>
    <xf numFmtId="164" fontId="3" fillId="5" borderId="2" xfId="0" applyNumberFormat="1" applyFont="1" applyFill="1" applyBorder="1" applyAlignment="1">
      <alignment horizontal="left"/>
    </xf>
    <xf numFmtId="164" fontId="3" fillId="5" borderId="7" xfId="0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5" borderId="3" xfId="0" applyFont="1" applyFill="1" applyBorder="1"/>
    <xf numFmtId="9" fontId="3" fillId="5" borderId="0" xfId="1" applyFont="1" applyFill="1" applyBorder="1" applyAlignment="1">
      <alignment horizontal="center"/>
    </xf>
    <xf numFmtId="164" fontId="3" fillId="5" borderId="8" xfId="0" applyNumberFormat="1" applyFont="1" applyFill="1" applyBorder="1"/>
    <xf numFmtId="164" fontId="3" fillId="5" borderId="1" xfId="0" applyNumberFormat="1" applyFont="1" applyFill="1" applyBorder="1"/>
    <xf numFmtId="164" fontId="3" fillId="5" borderId="1" xfId="0" applyNumberFormat="1" applyFont="1" applyFill="1" applyBorder="1" applyAlignment="1">
      <alignment horizontal="left"/>
    </xf>
    <xf numFmtId="164" fontId="3" fillId="5" borderId="9" xfId="0" applyNumberFormat="1" applyFont="1" applyFill="1" applyBorder="1" applyAlignment="1">
      <alignment horizontal="left"/>
    </xf>
    <xf numFmtId="0" fontId="6" fillId="5" borderId="5" xfId="0" applyFont="1" applyFill="1" applyBorder="1"/>
    <xf numFmtId="0" fontId="6" fillId="5" borderId="2" xfId="0" applyFont="1" applyFill="1" applyBorder="1" applyAlignment="1">
      <alignment horizontal="center" vertical="top"/>
    </xf>
    <xf numFmtId="164" fontId="6" fillId="5" borderId="7" xfId="0" applyNumberFormat="1" applyFont="1" applyFill="1" applyBorder="1" applyAlignment="1">
      <alignment horizontal="right"/>
    </xf>
    <xf numFmtId="164" fontId="6" fillId="5" borderId="0" xfId="0" applyNumberFormat="1" applyFont="1" applyFill="1" applyBorder="1" applyAlignment="1">
      <alignment horizontal="right" vertical="center" wrapText="1"/>
    </xf>
    <xf numFmtId="164" fontId="6" fillId="5" borderId="0" xfId="0" applyNumberFormat="1" applyFont="1" applyFill="1" applyBorder="1" applyAlignment="1">
      <alignment horizontal="left" vertical="center" wrapText="1"/>
    </xf>
    <xf numFmtId="164" fontId="6" fillId="5" borderId="8" xfId="0" applyNumberFormat="1" applyFont="1" applyFill="1" applyBorder="1" applyAlignment="1">
      <alignment horizontal="left" vertical="center" wrapText="1"/>
    </xf>
    <xf numFmtId="0" fontId="3" fillId="5" borderId="4" xfId="0" applyFont="1" applyFill="1" applyBorder="1"/>
    <xf numFmtId="0" fontId="3" fillId="5" borderId="1" xfId="0" applyFont="1" applyFill="1" applyBorder="1" applyAlignment="1">
      <alignment horizontal="center"/>
    </xf>
    <xf numFmtId="9" fontId="3" fillId="5" borderId="9" xfId="1" applyFont="1" applyFill="1" applyBorder="1" applyAlignment="1">
      <alignment horizontal="center"/>
    </xf>
    <xf numFmtId="9" fontId="3" fillId="5" borderId="1" xfId="1" applyFont="1" applyFill="1" applyBorder="1" applyAlignment="1">
      <alignment horizontal="center"/>
    </xf>
    <xf numFmtId="9" fontId="3" fillId="5" borderId="1" xfId="1" applyFont="1" applyFill="1" applyBorder="1" applyAlignment="1">
      <alignment horizontal="left"/>
    </xf>
    <xf numFmtId="9" fontId="3" fillId="5" borderId="9" xfId="1" applyFont="1" applyFill="1" applyBorder="1" applyAlignment="1">
      <alignment horizontal="left"/>
    </xf>
    <xf numFmtId="9" fontId="15" fillId="0" borderId="0" xfId="1" applyFont="1"/>
    <xf numFmtId="0" fontId="6" fillId="0" borderId="5" xfId="0" applyFont="1" applyFill="1" applyBorder="1" applyAlignment="1">
      <alignment wrapText="1"/>
    </xf>
    <xf numFmtId="9" fontId="3" fillId="0" borderId="2" xfId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left" wrapText="1"/>
    </xf>
    <xf numFmtId="0" fontId="6" fillId="0" borderId="10" xfId="0" applyFont="1" applyFill="1" applyBorder="1" applyAlignment="1">
      <alignment wrapText="1"/>
    </xf>
    <xf numFmtId="9" fontId="3" fillId="0" borderId="11" xfId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4" fillId="0" borderId="0" xfId="0" applyFont="1" applyBorder="1"/>
    <xf numFmtId="164" fontId="14" fillId="0" borderId="0" xfId="0" applyNumberFormat="1" applyFont="1" applyBorder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14" fontId="7" fillId="0" borderId="0" xfId="0" applyNumberFormat="1" applyFont="1" applyAlignment="1">
      <alignment horizontal="left"/>
    </xf>
    <xf numFmtId="0" fontId="14" fillId="0" borderId="0" xfId="0" applyFont="1" applyAlignment="1"/>
    <xf numFmtId="0" fontId="17" fillId="0" borderId="0" xfId="0" applyFont="1"/>
    <xf numFmtId="10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9" fontId="19" fillId="0" borderId="0" xfId="1" applyFont="1" applyAlignment="1">
      <alignment horizontal="center"/>
    </xf>
    <xf numFmtId="0" fontId="7" fillId="0" borderId="0" xfId="0" applyFont="1" applyAlignment="1"/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4" fillId="0" borderId="0" xfId="0" applyFont="1"/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65" fontId="14" fillId="0" borderId="0" xfId="0" applyNumberFormat="1" applyFont="1" applyAlignment="1">
      <alignment horizontal="right"/>
    </xf>
    <xf numFmtId="165" fontId="14" fillId="0" borderId="8" xfId="0" applyNumberFormat="1" applyFont="1" applyBorder="1" applyAlignment="1">
      <alignment horizontal="right"/>
    </xf>
    <xf numFmtId="165" fontId="14" fillId="0" borderId="0" xfId="0" applyNumberFormat="1" applyFont="1" applyBorder="1" applyAlignment="1">
      <alignment horizontal="right"/>
    </xf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165" fontId="17" fillId="0" borderId="2" xfId="0" applyNumberFormat="1" applyFont="1" applyBorder="1"/>
    <xf numFmtId="165" fontId="17" fillId="0" borderId="7" xfId="0" applyNumberFormat="1" applyFont="1" applyBorder="1"/>
    <xf numFmtId="165" fontId="17" fillId="2" borderId="5" xfId="1" applyNumberFormat="1" applyFont="1" applyFill="1" applyBorder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/>
    <xf numFmtId="42" fontId="18" fillId="0" borderId="0" xfId="0" applyNumberFormat="1" applyFont="1"/>
    <xf numFmtId="42" fontId="18" fillId="0" borderId="0" xfId="0" applyNumberFormat="1" applyFont="1" applyBorder="1"/>
    <xf numFmtId="42" fontId="19" fillId="0" borderId="0" xfId="0" applyNumberFormat="1" applyFont="1"/>
    <xf numFmtId="42" fontId="19" fillId="0" borderId="0" xfId="0" applyNumberFormat="1" applyFont="1" applyBorder="1"/>
    <xf numFmtId="42" fontId="14" fillId="0" borderId="1" xfId="0" applyNumberFormat="1" applyFont="1" applyBorder="1" applyAlignment="1">
      <alignment horizontal="center" wrapText="1"/>
    </xf>
    <xf numFmtId="42" fontId="14" fillId="0" borderId="9" xfId="0" applyNumberFormat="1" applyFont="1" applyBorder="1" applyAlignment="1">
      <alignment horizontal="center" wrapText="1"/>
    </xf>
    <xf numFmtId="42" fontId="14" fillId="0" borderId="0" xfId="0" applyNumberFormat="1" applyFont="1" applyBorder="1" applyAlignment="1">
      <alignment horizontal="right"/>
    </xf>
    <xf numFmtId="42" fontId="7" fillId="3" borderId="0" xfId="0" applyNumberFormat="1" applyFont="1" applyFill="1" applyBorder="1" applyAlignment="1">
      <alignment horizontal="right"/>
    </xf>
    <xf numFmtId="42" fontId="7" fillId="0" borderId="0" xfId="0" applyNumberFormat="1" applyFont="1" applyBorder="1" applyAlignment="1">
      <alignment horizontal="right"/>
    </xf>
    <xf numFmtId="42" fontId="7" fillId="0" borderId="8" xfId="0" applyNumberFormat="1" applyFont="1" applyBorder="1" applyAlignment="1">
      <alignment horizontal="right"/>
    </xf>
    <xf numFmtId="42" fontId="14" fillId="0" borderId="8" xfId="0" applyNumberFormat="1" applyFont="1" applyBorder="1" applyAlignment="1">
      <alignment horizontal="right"/>
    </xf>
    <xf numFmtId="42" fontId="7" fillId="3" borderId="0" xfId="0" applyNumberFormat="1" applyFont="1" applyFill="1"/>
    <xf numFmtId="42" fontId="14" fillId="0" borderId="9" xfId="0" applyNumberFormat="1" applyFont="1" applyBorder="1" applyAlignment="1">
      <alignment horizontal="right"/>
    </xf>
    <xf numFmtId="42" fontId="17" fillId="0" borderId="2" xfId="0" applyNumberFormat="1" applyFont="1" applyBorder="1"/>
    <xf numFmtId="42" fontId="17" fillId="0" borderId="7" xfId="0" applyNumberFormat="1" applyFont="1" applyBorder="1"/>
    <xf numFmtId="42" fontId="14" fillId="0" borderId="4" xfId="0" applyNumberFormat="1" applyFont="1" applyBorder="1" applyAlignment="1">
      <alignment horizontal="center"/>
    </xf>
    <xf numFmtId="42" fontId="14" fillId="2" borderId="3" xfId="1" applyNumberFormat="1" applyFont="1" applyFill="1" applyBorder="1" applyAlignment="1">
      <alignment horizontal="right"/>
    </xf>
    <xf numFmtId="42" fontId="7" fillId="2" borderId="3" xfId="1" applyNumberFormat="1" applyFont="1" applyFill="1" applyBorder="1" applyAlignment="1">
      <alignment horizontal="right"/>
    </xf>
    <xf numFmtId="42" fontId="17" fillId="2" borderId="5" xfId="1" applyNumberFormat="1" applyFont="1" applyFill="1" applyBorder="1" applyAlignment="1">
      <alignment horizontal="right"/>
    </xf>
    <xf numFmtId="165" fontId="14" fillId="3" borderId="0" xfId="0" applyNumberFormat="1" applyFont="1" applyFill="1" applyAlignment="1">
      <alignment horizontal="right"/>
    </xf>
    <xf numFmtId="165" fontId="14" fillId="3" borderId="8" xfId="0" applyNumberFormat="1" applyFont="1" applyFill="1" applyBorder="1" applyAlignment="1">
      <alignment horizontal="right"/>
    </xf>
    <xf numFmtId="10" fontId="19" fillId="3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165" fontId="14" fillId="0" borderId="0" xfId="0" applyNumberFormat="1" applyFont="1" applyFill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165" fontId="14" fillId="0" borderId="8" xfId="0" applyNumberFormat="1" applyFont="1" applyFill="1" applyBorder="1" applyAlignment="1">
      <alignment horizontal="right"/>
    </xf>
    <xf numFmtId="165" fontId="7" fillId="2" borderId="3" xfId="1" applyNumberFormat="1" applyFont="1" applyFill="1" applyBorder="1" applyAlignment="1">
      <alignment horizontal="right"/>
    </xf>
    <xf numFmtId="9" fontId="19" fillId="0" borderId="0" xfId="1" applyFont="1" applyBorder="1" applyAlignment="1">
      <alignment horizontal="center"/>
    </xf>
    <xf numFmtId="165" fontId="7" fillId="3" borderId="0" xfId="0" applyNumberFormat="1" applyFont="1" applyFill="1" applyBorder="1" applyAlignment="1">
      <alignment horizontal="right"/>
    </xf>
    <xf numFmtId="165" fontId="14" fillId="3" borderId="0" xfId="0" applyNumberFormat="1" applyFont="1" applyFill="1" applyBorder="1" applyAlignment="1">
      <alignment horizontal="right"/>
    </xf>
    <xf numFmtId="0" fontId="18" fillId="0" borderId="0" xfId="0" applyFont="1" applyBorder="1"/>
    <xf numFmtId="0" fontId="7" fillId="0" borderId="0" xfId="0" applyFont="1" applyBorder="1" applyAlignment="1"/>
    <xf numFmtId="0" fontId="7" fillId="0" borderId="0" xfId="0" applyFont="1" applyBorder="1"/>
    <xf numFmtId="0" fontId="17" fillId="0" borderId="0" xfId="0" applyFont="1" applyBorder="1"/>
    <xf numFmtId="49" fontId="7" fillId="2" borderId="3" xfId="1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4" fillId="0" borderId="1" xfId="0" applyFont="1" applyBorder="1"/>
    <xf numFmtId="0" fontId="2" fillId="0" borderId="0" xfId="0" applyFont="1" applyAlignment="1">
      <alignment vertical="top"/>
    </xf>
    <xf numFmtId="164" fontId="2" fillId="0" borderId="22" xfId="0" applyNumberFormat="1" applyFont="1" applyBorder="1" applyAlignment="1">
      <alignment horizontal="left"/>
    </xf>
    <xf numFmtId="164" fontId="14" fillId="2" borderId="3" xfId="1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0" fontId="7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left" vertical="center" wrapText="1"/>
    </xf>
    <xf numFmtId="164" fontId="1" fillId="5" borderId="19" xfId="0" applyNumberFormat="1" applyFont="1" applyFill="1" applyBorder="1" applyAlignment="1">
      <alignment horizontal="left"/>
    </xf>
    <xf numFmtId="164" fontId="1" fillId="0" borderId="22" xfId="0" applyNumberFormat="1" applyFont="1" applyBorder="1" applyAlignment="1">
      <alignment horizontal="left"/>
    </xf>
  </cellXfs>
  <cellStyles count="6">
    <cellStyle name="Prozent" xfId="1" builtinId="5"/>
    <cellStyle name="Standard" xfId="0" builtinId="0"/>
    <cellStyle name="Standard 2" xfId="2"/>
    <cellStyle name="Standard 3" xfId="4"/>
    <cellStyle name="Währung" xfId="3" builtinId="4"/>
    <cellStyle name="Währung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Statistisches Bundesamt (Destatis)</a:t>
            </a:r>
            <a:b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Baupreisindizes für die Bauwirtschaft, Außenanlagen</a:t>
            </a:r>
            <a:b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Entwicklung Baupreisindizes Außenanlagen Wohngebäude (Prozent)</a:t>
            </a:r>
          </a:p>
          <a:p>
            <a:pPr>
              <a:defRPr sz="900"/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Steigerung von Jahr zu Jahr (Prozent)</a:t>
            </a:r>
          </a:p>
          <a:p>
            <a:pPr>
              <a:defRPr sz="900"/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Stand 29.01.2024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Baupreisindizes!$A$27:$B$27</c:f>
              <c:strCache>
                <c:ptCount val="2"/>
                <c:pt idx="0">
                  <c:v>Steigerung von Jahr zu Jahr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Baupreisindizes!$C$26:$N$26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Baupreisindizes!$C$27:$N$27</c:f>
              <c:numCache>
                <c:formatCode>General</c:formatCode>
                <c:ptCount val="12"/>
                <c:pt idx="0">
                  <c:v>2.1999999999999886</c:v>
                </c:pt>
                <c:pt idx="1">
                  <c:v>2</c:v>
                </c:pt>
                <c:pt idx="2">
                  <c:v>1.6000000000000085</c:v>
                </c:pt>
                <c:pt idx="3">
                  <c:v>1.7999999999999972</c:v>
                </c:pt>
                <c:pt idx="4">
                  <c:v>1.9000000000000057</c:v>
                </c:pt>
                <c:pt idx="5">
                  <c:v>3.3999999999999915</c:v>
                </c:pt>
                <c:pt idx="6">
                  <c:v>5.6000000000000085</c:v>
                </c:pt>
                <c:pt idx="7">
                  <c:v>5.7999999999999972</c:v>
                </c:pt>
                <c:pt idx="8">
                  <c:v>3.2000000000000028</c:v>
                </c:pt>
                <c:pt idx="9">
                  <c:v>6.7999999999999972</c:v>
                </c:pt>
                <c:pt idx="10">
                  <c:v>18.700000000000003</c:v>
                </c:pt>
                <c:pt idx="11">
                  <c:v>15.099999999999994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A-4CD7-B74B-9DE3F498A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0294671"/>
        <c:axId val="1540298415"/>
      </c:barChart>
      <c:catAx>
        <c:axId val="154029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0298415"/>
        <c:crosses val="autoZero"/>
        <c:auto val="1"/>
        <c:lblAlgn val="ctr"/>
        <c:lblOffset val="100"/>
        <c:noMultiLvlLbl val="0"/>
      </c:catAx>
      <c:valAx>
        <c:axId val="154029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0294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9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Statistisches Bundesamt (Destatis)</a:t>
            </a:r>
            <a:b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Baupreisindizes für die Bauwirtschaft, Außenanlagen</a:t>
            </a:r>
            <a:b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9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Entwicklung Baupreisindizes Außenanlagen Wohngebäude (Prozent)</a:t>
            </a:r>
            <a:endParaRPr lang="de-DE" sz="9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9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Stand 29.01.2024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9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Baupreisindizes!$A$28:$B$28</c:f>
              <c:strCache>
                <c:ptCount val="2"/>
                <c:pt idx="0">
                  <c:v>Entwicklung Baupreisindizis Außenanlagen</c:v>
                </c:pt>
                <c:pt idx="1">
                  <c:v>92,4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9A-4A57-8226-003400EAE8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Baupreisindizes!$C$26:$N$26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Baupreisindizes!$C$28:$N$28</c:f>
              <c:numCache>
                <c:formatCode>General</c:formatCode>
                <c:ptCount val="12"/>
                <c:pt idx="0">
                  <c:v>94.6</c:v>
                </c:pt>
                <c:pt idx="1">
                  <c:v>96.6</c:v>
                </c:pt>
                <c:pt idx="2">
                  <c:v>98.2</c:v>
                </c:pt>
                <c:pt idx="3">
                  <c:v>100</c:v>
                </c:pt>
                <c:pt idx="4">
                  <c:v>101.9</c:v>
                </c:pt>
                <c:pt idx="5">
                  <c:v>105.3</c:v>
                </c:pt>
                <c:pt idx="6">
                  <c:v>110.9</c:v>
                </c:pt>
                <c:pt idx="7">
                  <c:v>116.7</c:v>
                </c:pt>
                <c:pt idx="8">
                  <c:v>119.9</c:v>
                </c:pt>
                <c:pt idx="9">
                  <c:v>126.7</c:v>
                </c:pt>
                <c:pt idx="10">
                  <c:v>145.4</c:v>
                </c:pt>
                <c:pt idx="11">
                  <c:v>160.5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9A-4A57-8226-003400EAE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0294671"/>
        <c:axId val="1540298415"/>
      </c:barChart>
      <c:catAx>
        <c:axId val="154029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0298415"/>
        <c:crosses val="autoZero"/>
        <c:auto val="1"/>
        <c:lblAlgn val="ctr"/>
        <c:lblOffset val="100"/>
        <c:noMultiLvlLbl val="0"/>
      </c:catAx>
      <c:valAx>
        <c:axId val="154029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0294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195952</xdr:colOff>
      <xdr:row>28</xdr:row>
      <xdr:rowOff>141514</xdr:rowOff>
    </xdr:from>
    <xdr:to>
      <xdr:col>6</xdr:col>
      <xdr:colOff>892638</xdr:colOff>
      <xdr:row>45</xdr:row>
      <xdr:rowOff>108857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720436</xdr:colOff>
      <xdr:row>28</xdr:row>
      <xdr:rowOff>152400</xdr:rowOff>
    </xdr:from>
    <xdr:to>
      <xdr:col>12</xdr:col>
      <xdr:colOff>447304</xdr:colOff>
      <xdr:row>45</xdr:row>
      <xdr:rowOff>119743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N62"/>
  <sheetViews>
    <sheetView showGridLines="0" tabSelected="1" zoomScale="70" zoomScaleNormal="70" zoomScaleSheetLayoutView="85" workbookViewId="0">
      <pane ySplit="6" topLeftCell="A17" activePane="bottomLeft" state="frozen"/>
      <selection pane="bottomLeft" activeCell="AO29" sqref="AO29"/>
    </sheetView>
  </sheetViews>
  <sheetFormatPr baseColWidth="10" defaultColWidth="11.42578125" defaultRowHeight="14.25" outlineLevelRow="1" outlineLevelCol="2" x14ac:dyDescent="0.2"/>
  <cols>
    <col min="1" max="1" width="2.5703125" style="128" customWidth="1"/>
    <col min="2" max="2" width="8" style="128" customWidth="1"/>
    <col min="3" max="3" width="16" style="128" customWidth="1"/>
    <col min="4" max="4" width="1.42578125" style="128" customWidth="1"/>
    <col min="5" max="5" width="59.28515625" style="128" customWidth="1"/>
    <col min="6" max="6" width="16.85546875" style="128" hidden="1" customWidth="1" outlineLevel="1"/>
    <col min="7" max="7" width="9.85546875" style="128" customWidth="1" collapsed="1"/>
    <col min="8" max="8" width="14.7109375" style="154" hidden="1" customWidth="1" outlineLevel="1"/>
    <col min="9" max="9" width="16.28515625" style="156" customWidth="1" collapsed="1"/>
    <col min="10" max="10" width="15.85546875" style="156" hidden="1" customWidth="1" outlineLevel="1"/>
    <col min="11" max="11" width="17.140625" style="157" customWidth="1" collapsed="1"/>
    <col min="12" max="12" width="15" style="128" hidden="1" customWidth="1" outlineLevel="2"/>
    <col min="13" max="19" width="13.7109375" style="128" hidden="1" customWidth="1" outlineLevel="1" collapsed="1"/>
    <col min="20" max="20" width="14.28515625" style="128" hidden="1" customWidth="1" outlineLevel="1"/>
    <col min="21" max="21" width="0.42578125" style="128" customWidth="1" collapsed="1"/>
    <col min="22" max="22" width="15" style="128" hidden="1" customWidth="1" outlineLevel="1" collapsed="1"/>
    <col min="23" max="29" width="15" style="128" hidden="1" customWidth="1" outlineLevel="1"/>
    <col min="30" max="30" width="18.85546875" style="156" customWidth="1" collapsed="1"/>
    <col min="31" max="31" width="15" style="128" hidden="1" customWidth="1" outlineLevel="1" collapsed="1"/>
    <col min="32" max="32" width="15" style="128" customWidth="1" collapsed="1"/>
    <col min="33" max="38" width="15" style="128" customWidth="1"/>
    <col min="39" max="39" width="18.85546875" style="156" customWidth="1"/>
    <col min="40" max="40" width="18.85546875" style="128" customWidth="1"/>
    <col min="41" max="16384" width="11.42578125" style="128"/>
  </cols>
  <sheetData>
    <row r="2" spans="1:40" ht="32.450000000000003" customHeight="1" x14ac:dyDescent="0.2">
      <c r="B2" s="6" t="s">
        <v>138</v>
      </c>
      <c r="C2" s="129"/>
      <c r="D2" s="129"/>
      <c r="E2" s="129"/>
      <c r="F2" s="129"/>
      <c r="G2" s="129"/>
      <c r="H2" s="129"/>
    </row>
    <row r="3" spans="1:40" ht="17.45" customHeight="1" x14ac:dyDescent="0.25">
      <c r="B3" s="130" t="s">
        <v>17</v>
      </c>
      <c r="C3" s="131">
        <v>45600</v>
      </c>
      <c r="D3" s="129"/>
      <c r="H3" s="129"/>
      <c r="L3" s="132"/>
      <c r="M3" s="133" t="s">
        <v>60</v>
      </c>
      <c r="N3" s="133"/>
      <c r="O3" s="133"/>
      <c r="P3" s="133"/>
      <c r="Q3" s="133"/>
      <c r="R3" s="133"/>
      <c r="S3" s="133"/>
      <c r="T3" s="134"/>
      <c r="V3" s="133" t="s">
        <v>137</v>
      </c>
      <c r="W3" s="134"/>
      <c r="X3" s="132"/>
      <c r="Y3" s="132"/>
      <c r="Z3" s="132"/>
      <c r="AA3" s="132"/>
      <c r="AB3" s="132"/>
      <c r="AC3" s="132"/>
      <c r="AE3" s="133" t="s">
        <v>110</v>
      </c>
      <c r="AF3" s="134"/>
      <c r="AG3" s="132"/>
      <c r="AH3" s="132"/>
      <c r="AI3" s="132"/>
      <c r="AJ3" s="132"/>
      <c r="AK3" s="132"/>
      <c r="AL3" s="132"/>
    </row>
    <row r="4" spans="1:40" ht="17.45" customHeight="1" outlineLevel="1" x14ac:dyDescent="0.2">
      <c r="C4" s="129"/>
      <c r="D4" s="129"/>
      <c r="E4" s="129"/>
      <c r="F4" s="129"/>
      <c r="G4" s="129"/>
      <c r="H4" s="135"/>
      <c r="I4" s="158"/>
      <c r="J4" s="158"/>
      <c r="K4" s="159"/>
      <c r="L4" s="137">
        <f>Baupreisindizes!N27/100</f>
        <v>0.15099999999999994</v>
      </c>
      <c r="X4" s="134"/>
      <c r="Y4" s="134"/>
      <c r="Z4" s="134"/>
      <c r="AA4" s="134"/>
      <c r="AB4" s="134"/>
      <c r="AC4" s="134"/>
      <c r="AG4" s="134"/>
      <c r="AH4" s="134"/>
      <c r="AI4" s="134"/>
      <c r="AJ4" s="134"/>
      <c r="AK4" s="134"/>
      <c r="AL4" s="134"/>
    </row>
    <row r="5" spans="1:40" ht="16.350000000000001" customHeight="1" outlineLevel="1" x14ac:dyDescent="0.2">
      <c r="B5" s="128" t="s">
        <v>136</v>
      </c>
      <c r="C5" s="129"/>
      <c r="D5" s="129"/>
      <c r="E5" s="129"/>
      <c r="F5" s="129"/>
      <c r="G5" s="129"/>
      <c r="H5" s="135"/>
      <c r="I5" s="158"/>
      <c r="J5" s="158"/>
      <c r="K5" s="159"/>
      <c r="L5" s="136" t="s">
        <v>10</v>
      </c>
      <c r="M5" s="177">
        <v>0.05</v>
      </c>
      <c r="N5" s="177">
        <v>0.05</v>
      </c>
      <c r="O5" s="177">
        <v>0.05</v>
      </c>
      <c r="P5" s="177">
        <v>0.05</v>
      </c>
      <c r="Q5" s="177">
        <v>0.05</v>
      </c>
      <c r="R5" s="177">
        <v>0.05</v>
      </c>
      <c r="S5" s="177">
        <v>0.05</v>
      </c>
      <c r="T5" s="177">
        <v>0.05</v>
      </c>
      <c r="U5" s="186"/>
      <c r="V5" s="183">
        <f>M5</f>
        <v>0.05</v>
      </c>
      <c r="W5" s="137">
        <f t="shared" ref="W5:AC5" si="0">N5</f>
        <v>0.05</v>
      </c>
      <c r="X5" s="137">
        <f t="shared" si="0"/>
        <v>0.05</v>
      </c>
      <c r="Y5" s="137">
        <f t="shared" si="0"/>
        <v>0.05</v>
      </c>
      <c r="Z5" s="137">
        <f t="shared" si="0"/>
        <v>0.05</v>
      </c>
      <c r="AA5" s="137">
        <f t="shared" si="0"/>
        <v>0.05</v>
      </c>
      <c r="AB5" s="137">
        <f t="shared" si="0"/>
        <v>0.05</v>
      </c>
      <c r="AC5" s="137">
        <f t="shared" si="0"/>
        <v>0.05</v>
      </c>
      <c r="AE5" s="137">
        <f>M5</f>
        <v>0.05</v>
      </c>
      <c r="AF5" s="137">
        <f t="shared" ref="AF5:AL5" si="1">N5</f>
        <v>0.05</v>
      </c>
      <c r="AG5" s="137">
        <f t="shared" si="1"/>
        <v>0.05</v>
      </c>
      <c r="AH5" s="137">
        <f t="shared" si="1"/>
        <v>0.05</v>
      </c>
      <c r="AI5" s="137">
        <f t="shared" si="1"/>
        <v>0.05</v>
      </c>
      <c r="AJ5" s="137">
        <f t="shared" si="1"/>
        <v>0.05</v>
      </c>
      <c r="AK5" s="137">
        <f t="shared" si="1"/>
        <v>0.05</v>
      </c>
      <c r="AL5" s="137">
        <f t="shared" si="1"/>
        <v>0.05</v>
      </c>
    </row>
    <row r="6" spans="1:40" s="138" customFormat="1" ht="27.75" customHeight="1" x14ac:dyDescent="0.2">
      <c r="B6" s="139" t="s">
        <v>18</v>
      </c>
      <c r="C6" s="140" t="s">
        <v>0</v>
      </c>
      <c r="D6" s="140"/>
      <c r="E6" s="140" t="s">
        <v>11</v>
      </c>
      <c r="F6" s="140" t="s">
        <v>111</v>
      </c>
      <c r="G6" s="192" t="s">
        <v>104</v>
      </c>
      <c r="H6" s="140" t="s">
        <v>12</v>
      </c>
      <c r="I6" s="160" t="s">
        <v>13</v>
      </c>
      <c r="J6" s="160" t="s">
        <v>14</v>
      </c>
      <c r="K6" s="161" t="s">
        <v>15</v>
      </c>
      <c r="L6" s="140">
        <v>2023</v>
      </c>
      <c r="M6" s="140">
        <v>2024</v>
      </c>
      <c r="N6" s="140">
        <v>2025</v>
      </c>
      <c r="O6" s="140">
        <v>2026</v>
      </c>
      <c r="P6" s="140">
        <v>2027</v>
      </c>
      <c r="Q6" s="140">
        <v>2028</v>
      </c>
      <c r="R6" s="140">
        <v>2029</v>
      </c>
      <c r="S6" s="140">
        <v>2030</v>
      </c>
      <c r="T6" s="140">
        <v>2031</v>
      </c>
      <c r="U6" s="187"/>
      <c r="V6" s="140">
        <v>2024</v>
      </c>
      <c r="W6" s="140">
        <v>2025</v>
      </c>
      <c r="X6" s="140">
        <v>2026</v>
      </c>
      <c r="Y6" s="140">
        <v>2027</v>
      </c>
      <c r="Z6" s="140">
        <v>2028</v>
      </c>
      <c r="AA6" s="140">
        <v>2029</v>
      </c>
      <c r="AB6" s="140">
        <v>2030</v>
      </c>
      <c r="AC6" s="140">
        <v>2031</v>
      </c>
      <c r="AD6" s="171" t="s">
        <v>19</v>
      </c>
      <c r="AE6" s="140">
        <v>2024</v>
      </c>
      <c r="AF6" s="140">
        <v>2025</v>
      </c>
      <c r="AG6" s="140">
        <v>2026</v>
      </c>
      <c r="AH6" s="140">
        <v>2027</v>
      </c>
      <c r="AI6" s="140">
        <v>2028</v>
      </c>
      <c r="AJ6" s="140">
        <v>2029</v>
      </c>
      <c r="AK6" s="140">
        <v>2030</v>
      </c>
      <c r="AL6" s="140">
        <v>2031</v>
      </c>
      <c r="AM6" s="171" t="s">
        <v>19</v>
      </c>
      <c r="AN6" s="141" t="str">
        <f>F6</f>
        <v>Finanz / Ergebnis</v>
      </c>
    </row>
    <row r="7" spans="1:40" s="126" customFormat="1" ht="21" customHeight="1" x14ac:dyDescent="0.2">
      <c r="A7" s="142"/>
      <c r="B7" s="126" t="s">
        <v>6</v>
      </c>
      <c r="F7" s="191"/>
      <c r="H7" s="143"/>
      <c r="I7" s="162">
        <f>SUM(I8:I8)</f>
        <v>10000</v>
      </c>
      <c r="J7" s="162">
        <f>SUM(J8:J8)</f>
        <v>1900</v>
      </c>
      <c r="K7" s="166">
        <f>SUM(K8:K8)</f>
        <v>11900</v>
      </c>
      <c r="L7" s="127">
        <f>SUM(L8:L8)</f>
        <v>0</v>
      </c>
      <c r="M7" s="147">
        <f t="shared" ref="M7:T7" si="2">SUM(M8:M9)</f>
        <v>11900</v>
      </c>
      <c r="N7" s="147">
        <f t="shared" si="2"/>
        <v>12495</v>
      </c>
      <c r="O7" s="147">
        <f t="shared" si="2"/>
        <v>13119.75</v>
      </c>
      <c r="P7" s="147">
        <f t="shared" si="2"/>
        <v>13775.737499999999</v>
      </c>
      <c r="Q7" s="147">
        <f t="shared" si="2"/>
        <v>14464.524374999999</v>
      </c>
      <c r="R7" s="147">
        <f t="shared" si="2"/>
        <v>15187.750593749999</v>
      </c>
      <c r="S7" s="147">
        <f t="shared" si="2"/>
        <v>15947.138123437499</v>
      </c>
      <c r="T7" s="147">
        <f t="shared" si="2"/>
        <v>16744.495029609374</v>
      </c>
      <c r="V7" s="127">
        <f t="shared" ref="V7:AC7" si="3">SUM(V8:V8)</f>
        <v>0</v>
      </c>
      <c r="W7" s="127">
        <f t="shared" si="3"/>
        <v>0</v>
      </c>
      <c r="X7" s="127">
        <f t="shared" si="3"/>
        <v>0</v>
      </c>
      <c r="Y7" s="127">
        <f t="shared" si="3"/>
        <v>0</v>
      </c>
      <c r="Z7" s="127">
        <f t="shared" si="3"/>
        <v>14464.524374999999</v>
      </c>
      <c r="AA7" s="127">
        <f t="shared" si="3"/>
        <v>0</v>
      </c>
      <c r="AB7" s="127">
        <f t="shared" si="3"/>
        <v>0</v>
      </c>
      <c r="AC7" s="127">
        <f t="shared" si="3"/>
        <v>0</v>
      </c>
      <c r="AD7" s="195">
        <f>SUM(V7:AC7)</f>
        <v>14464.524374999999</v>
      </c>
      <c r="AE7" s="127">
        <f t="shared" ref="AE7:AL7" si="4">SUM(AE8:AE8)</f>
        <v>0</v>
      </c>
      <c r="AF7" s="127">
        <f t="shared" si="4"/>
        <v>0</v>
      </c>
      <c r="AG7" s="127">
        <f t="shared" si="4"/>
        <v>0</v>
      </c>
      <c r="AH7" s="127">
        <f t="shared" si="4"/>
        <v>0</v>
      </c>
      <c r="AI7" s="127">
        <f t="shared" si="4"/>
        <v>14500</v>
      </c>
      <c r="AJ7" s="127">
        <f t="shared" si="4"/>
        <v>0</v>
      </c>
      <c r="AK7" s="127">
        <f t="shared" si="4"/>
        <v>0</v>
      </c>
      <c r="AL7" s="127">
        <f t="shared" si="4"/>
        <v>0</v>
      </c>
      <c r="AM7" s="172">
        <f>SUM(AE7:AL7)</f>
        <v>14500</v>
      </c>
      <c r="AN7" s="190"/>
    </row>
    <row r="8" spans="1:40" s="8" customFormat="1" ht="12.75" outlineLevel="1" x14ac:dyDescent="0.2">
      <c r="B8" s="7"/>
      <c r="C8" s="7" t="s">
        <v>106</v>
      </c>
      <c r="D8" s="7"/>
      <c r="E8" s="7" t="s">
        <v>112</v>
      </c>
      <c r="F8" s="9"/>
      <c r="G8" s="7" t="s">
        <v>105</v>
      </c>
      <c r="H8" s="9">
        <v>2024</v>
      </c>
      <c r="I8" s="163">
        <v>10000</v>
      </c>
      <c r="J8" s="164">
        <f>K8-I8</f>
        <v>1900</v>
      </c>
      <c r="K8" s="165">
        <f>I8*1.19</f>
        <v>11900</v>
      </c>
      <c r="L8" s="11"/>
      <c r="M8" s="11">
        <f>K8</f>
        <v>11900</v>
      </c>
      <c r="N8" s="11">
        <f>M8*$N$5+M8</f>
        <v>12495</v>
      </c>
      <c r="O8" s="11">
        <f>N8*$O$5+N8</f>
        <v>13119.75</v>
      </c>
      <c r="P8" s="11">
        <f>O8*$P$5+O8</f>
        <v>13775.737499999999</v>
      </c>
      <c r="Q8" s="11">
        <f t="shared" ref="Q8" si="5">P8*$Q$5+P8</f>
        <v>14464.524374999999</v>
      </c>
      <c r="R8" s="11">
        <f>Q8*$R$5+Q8</f>
        <v>15187.750593749999</v>
      </c>
      <c r="S8" s="11">
        <f>R8*$S$5+R8</f>
        <v>15947.138123437499</v>
      </c>
      <c r="T8" s="11">
        <f>S8*$T$5+S8</f>
        <v>16744.495029609374</v>
      </c>
      <c r="U8" s="188"/>
      <c r="V8" s="184"/>
      <c r="W8" s="13"/>
      <c r="X8" s="13"/>
      <c r="Y8" s="13"/>
      <c r="Z8" s="13">
        <f>Q8</f>
        <v>14464.524374999999</v>
      </c>
      <c r="AA8" s="13"/>
      <c r="AB8" s="13"/>
      <c r="AC8" s="13"/>
      <c r="AD8" s="173">
        <f t="shared" ref="AD8:AD14" si="6">SUM(V8:AC8)</f>
        <v>14464.524374999999</v>
      </c>
      <c r="AE8" s="178" t="str">
        <f>IF(V8="","",IF(V8=0,"",ROUNDUP(V8/500,0)*500))</f>
        <v/>
      </c>
      <c r="AF8" s="178" t="str">
        <f t="shared" ref="AF8:AF9" si="7">IF(W8="","",IF(W8=0,"",ROUNDUP(W8/500,0)*500))</f>
        <v/>
      </c>
      <c r="AG8" s="178" t="str">
        <f t="shared" ref="AG8:AG9" si="8">IF(X8="","",IF(X8=0,"",ROUNDUP(X8/500,0)*500))</f>
        <v/>
      </c>
      <c r="AH8" s="178" t="str">
        <f t="shared" ref="AH8:AH9" si="9">IF(Y8="","",IF(Y8=0,"",ROUNDUP(Y8/500,0)*500))</f>
        <v/>
      </c>
      <c r="AI8" s="178">
        <f t="shared" ref="AI8:AI9" si="10">IF(Z8="","",IF(Z8=0,"",ROUNDUP(Z8/500,0)*500))</f>
        <v>14500</v>
      </c>
      <c r="AJ8" s="178" t="str">
        <f t="shared" ref="AJ8:AJ9" si="11">IF(AA8="","",IF(AA8=0,"",ROUNDUP(AA8/500,0)*500))</f>
        <v/>
      </c>
      <c r="AK8" s="178" t="str">
        <f t="shared" ref="AK8:AK9" si="12">IF(AB8="","",IF(AB8=0,"",ROUNDUP(AB8/500,0)*500))</f>
        <v/>
      </c>
      <c r="AL8" s="178" t="str">
        <f t="shared" ref="AL8:AL9" si="13">IF(AC8="","",IF(AC8=0,"",ROUNDUP(AC8/500,0)*500))</f>
        <v/>
      </c>
      <c r="AM8" s="173">
        <f t="shared" ref="AM8:AM9" si="14">SUM(AE8:AL8)</f>
        <v>14500</v>
      </c>
      <c r="AN8" s="190">
        <f>F8</f>
        <v>0</v>
      </c>
    </row>
    <row r="9" spans="1:40" s="8" customFormat="1" ht="12.75" outlineLevel="1" x14ac:dyDescent="0.2">
      <c r="B9" s="7"/>
      <c r="C9" s="7"/>
      <c r="D9" s="7"/>
      <c r="E9" s="7"/>
      <c r="F9" s="9"/>
      <c r="G9" s="7"/>
      <c r="H9" s="9"/>
      <c r="I9" s="163"/>
      <c r="J9" s="164">
        <f t="shared" ref="J9" si="15">K9-I9</f>
        <v>0</v>
      </c>
      <c r="K9" s="165">
        <f>I9*1.19</f>
        <v>0</v>
      </c>
      <c r="L9" s="11"/>
      <c r="M9" s="11">
        <f>K9</f>
        <v>0</v>
      </c>
      <c r="N9" s="11">
        <f>M9*$N$5+M9</f>
        <v>0</v>
      </c>
      <c r="O9" s="11">
        <f t="shared" ref="O9" si="16">N9*$O$5+N9</f>
        <v>0</v>
      </c>
      <c r="P9" s="11">
        <f t="shared" ref="P9" si="17">O9*$P$5+O9</f>
        <v>0</v>
      </c>
      <c r="Q9" s="11">
        <f t="shared" ref="Q9" si="18">P9*$Q$5+P9</f>
        <v>0</v>
      </c>
      <c r="R9" s="11">
        <f t="shared" ref="R9" si="19">Q9*$R$5+Q9</f>
        <v>0</v>
      </c>
      <c r="S9" s="11">
        <f t="shared" ref="S9" si="20">R9*$S$5+R9</f>
        <v>0</v>
      </c>
      <c r="T9" s="11">
        <f t="shared" ref="T9" si="21">S9*$T$5+S9</f>
        <v>0</v>
      </c>
      <c r="U9" s="188"/>
      <c r="V9" s="184"/>
      <c r="W9" s="13"/>
      <c r="X9" s="13"/>
      <c r="Y9" s="13"/>
      <c r="Z9" s="13"/>
      <c r="AA9" s="13"/>
      <c r="AB9" s="13"/>
      <c r="AC9" s="13"/>
      <c r="AD9" s="173">
        <f t="shared" si="6"/>
        <v>0</v>
      </c>
      <c r="AE9" s="178" t="str">
        <f t="shared" ref="AE9" si="22">IF(V9="","",IF(V9=0,"",ROUNDUP(V9/500,0)*500))</f>
        <v/>
      </c>
      <c r="AF9" s="178" t="str">
        <f t="shared" si="7"/>
        <v/>
      </c>
      <c r="AG9" s="178" t="str">
        <f t="shared" si="8"/>
        <v/>
      </c>
      <c r="AH9" s="178" t="str">
        <f t="shared" si="9"/>
        <v/>
      </c>
      <c r="AI9" s="178" t="str">
        <f t="shared" si="10"/>
        <v/>
      </c>
      <c r="AJ9" s="178" t="str">
        <f t="shared" si="11"/>
        <v/>
      </c>
      <c r="AK9" s="178" t="str">
        <f t="shared" si="12"/>
        <v/>
      </c>
      <c r="AL9" s="178" t="str">
        <f t="shared" si="13"/>
        <v/>
      </c>
      <c r="AM9" s="173">
        <f t="shared" si="14"/>
        <v>0</v>
      </c>
      <c r="AN9" s="190">
        <f>F9</f>
        <v>0</v>
      </c>
    </row>
    <row r="10" spans="1:40" s="126" customFormat="1" ht="21" customHeight="1" x14ac:dyDescent="0.2">
      <c r="A10" s="142"/>
      <c r="B10" s="126" t="s">
        <v>5</v>
      </c>
      <c r="F10" s="191"/>
      <c r="H10" s="143"/>
      <c r="I10" s="162">
        <f t="shared" ref="I10:T10" si="23">SUM(I11:I23)</f>
        <v>301436.97478991596</v>
      </c>
      <c r="J10" s="162">
        <f t="shared" si="23"/>
        <v>57273.025210084023</v>
      </c>
      <c r="K10" s="166">
        <f t="shared" si="23"/>
        <v>358710</v>
      </c>
      <c r="L10" s="127">
        <f t="shared" si="23"/>
        <v>0</v>
      </c>
      <c r="M10" s="147">
        <f t="shared" si="23"/>
        <v>358710</v>
      </c>
      <c r="N10" s="147">
        <f t="shared" si="23"/>
        <v>376645.5</v>
      </c>
      <c r="O10" s="147">
        <f t="shared" si="23"/>
        <v>395477.77499999997</v>
      </c>
      <c r="P10" s="147">
        <f t="shared" si="23"/>
        <v>415251.66374999995</v>
      </c>
      <c r="Q10" s="147">
        <f t="shared" si="23"/>
        <v>436014.24693749996</v>
      </c>
      <c r="R10" s="147">
        <f t="shared" si="23"/>
        <v>457814.95928437501</v>
      </c>
      <c r="S10" s="147">
        <f t="shared" si="23"/>
        <v>480705.7072485938</v>
      </c>
      <c r="T10" s="147">
        <f t="shared" si="23"/>
        <v>504740.99261102336</v>
      </c>
      <c r="V10" s="127">
        <f t="shared" ref="V10:AC10" si="24">SUM(V11:V23)</f>
        <v>0</v>
      </c>
      <c r="W10" s="127">
        <f t="shared" si="24"/>
        <v>376645.5</v>
      </c>
      <c r="X10" s="127">
        <f t="shared" si="24"/>
        <v>0</v>
      </c>
      <c r="Y10" s="127">
        <f t="shared" si="24"/>
        <v>0</v>
      </c>
      <c r="Z10" s="127">
        <f t="shared" si="24"/>
        <v>0</v>
      </c>
      <c r="AA10" s="127">
        <f t="shared" si="24"/>
        <v>165546.48147187501</v>
      </c>
      <c r="AB10" s="127">
        <f t="shared" si="24"/>
        <v>0</v>
      </c>
      <c r="AC10" s="127">
        <f t="shared" si="24"/>
        <v>0</v>
      </c>
      <c r="AD10" s="172">
        <f>SUM(V10:AC10)</f>
        <v>542191.98147187498</v>
      </c>
      <c r="AE10" s="127">
        <f t="shared" ref="AE10:AL10" si="25">SUM(AE11:AE23)</f>
        <v>0</v>
      </c>
      <c r="AF10" s="127">
        <f t="shared" si="25"/>
        <v>378500</v>
      </c>
      <c r="AG10" s="127">
        <f t="shared" si="25"/>
        <v>0</v>
      </c>
      <c r="AH10" s="127">
        <f t="shared" si="25"/>
        <v>0</v>
      </c>
      <c r="AI10" s="127">
        <f t="shared" si="25"/>
        <v>0</v>
      </c>
      <c r="AJ10" s="127">
        <f t="shared" si="25"/>
        <v>167000</v>
      </c>
      <c r="AK10" s="127">
        <f t="shared" si="25"/>
        <v>0</v>
      </c>
      <c r="AL10" s="127">
        <f t="shared" si="25"/>
        <v>0</v>
      </c>
      <c r="AM10" s="172">
        <f>SUM(AE10:AL10)</f>
        <v>545500</v>
      </c>
      <c r="AN10" s="190"/>
    </row>
    <row r="11" spans="1:40" s="8" customFormat="1" ht="12.75" outlineLevel="1" x14ac:dyDescent="0.2">
      <c r="B11" s="7"/>
      <c r="C11" s="7" t="s">
        <v>118</v>
      </c>
      <c r="D11" s="7"/>
      <c r="E11" s="7" t="str">
        <f>F363a_2024_Bestatt!$J$16</f>
        <v>Pflegeleichte Grabstätten (Sarg / Urne)</v>
      </c>
      <c r="F11" s="9"/>
      <c r="G11" s="7" t="s">
        <v>105</v>
      </c>
      <c r="H11" s="9">
        <v>2024</v>
      </c>
      <c r="I11" s="167">
        <f>F363a_2024_Bestatt!J18</f>
        <v>4375</v>
      </c>
      <c r="J11" s="164">
        <f>K11-I11</f>
        <v>831.25</v>
      </c>
      <c r="K11" s="165">
        <f>I11*1.19</f>
        <v>5206.25</v>
      </c>
      <c r="L11" s="11"/>
      <c r="M11" s="11">
        <f>K11</f>
        <v>5206.25</v>
      </c>
      <c r="N11" s="11">
        <f>M11*$N$5+M11</f>
        <v>5466.5625</v>
      </c>
      <c r="O11" s="11">
        <f t="shared" ref="O11:O15" si="26">N11*$O$5+N11</f>
        <v>5739.890625</v>
      </c>
      <c r="P11" s="11">
        <f t="shared" ref="P11:P15" si="27">O11*$P$5+O11</f>
        <v>6026.8851562500004</v>
      </c>
      <c r="Q11" s="11">
        <f t="shared" ref="Q11:Q15" si="28">P11*$Q$5+P11</f>
        <v>6328.2294140624999</v>
      </c>
      <c r="R11" s="11">
        <f t="shared" ref="R11:R18" si="29">Q11*$R$5+Q11</f>
        <v>6644.6408847656248</v>
      </c>
      <c r="S11" s="11">
        <f t="shared" ref="S11:S15" si="30">R11*$S$5+R11</f>
        <v>6976.8729290039064</v>
      </c>
      <c r="T11" s="11">
        <f t="shared" ref="T11:T15" si="31">S11*$T$5+S11</f>
        <v>7325.716575454102</v>
      </c>
      <c r="U11" s="188"/>
      <c r="V11" s="184"/>
      <c r="W11" s="13">
        <f>N11</f>
        <v>5466.5625</v>
      </c>
      <c r="X11" s="13"/>
      <c r="Y11" s="13"/>
      <c r="Z11" s="13"/>
      <c r="AA11" s="13">
        <f>R11</f>
        <v>6644.6408847656248</v>
      </c>
      <c r="AB11" s="13"/>
      <c r="AC11" s="13"/>
      <c r="AD11" s="182">
        <f>SUM(V11:AC11)</f>
        <v>12111.203384765624</v>
      </c>
      <c r="AE11" s="178" t="str">
        <f t="shared" ref="AE11:AE23" si="32">IF(V11="","",IF(V11=0,"",ROUNDUP(V11/500,0)*500))</f>
        <v/>
      </c>
      <c r="AF11" s="178">
        <f t="shared" ref="AF11:AF23" si="33">IF(W11="","",IF(W11=0,"",ROUNDUP(W11/500,0)*500))</f>
        <v>5500</v>
      </c>
      <c r="AG11" s="178" t="str">
        <f t="shared" ref="AG11:AG23" si="34">IF(X11="","",IF(X11=0,"",ROUNDUP(X11/500,0)*500))</f>
        <v/>
      </c>
      <c r="AH11" s="178" t="str">
        <f t="shared" ref="AH11:AH23" si="35">IF(Y11="","",IF(Y11=0,"",ROUNDUP(Y11/500,0)*500))</f>
        <v/>
      </c>
      <c r="AI11" s="178" t="str">
        <f t="shared" ref="AI11:AI23" si="36">IF(Z11="","",IF(Z11=0,"",ROUNDUP(Z11/500,0)*500))</f>
        <v/>
      </c>
      <c r="AJ11" s="178">
        <f t="shared" ref="AJ11:AJ23" si="37">IF(AA11="","",IF(AA11=0,"",ROUNDUP(AA11/500,0)*500))</f>
        <v>7000</v>
      </c>
      <c r="AK11" s="178" t="str">
        <f t="shared" ref="AK11:AK23" si="38">IF(AB11="","",IF(AB11=0,"",ROUNDUP(AB11/500,0)*500))</f>
        <v/>
      </c>
      <c r="AL11" s="178" t="str">
        <f t="shared" ref="AL11:AL23" si="39">IF(AC11="","",IF(AC11=0,"",ROUNDUP(AC11/500,0)*500))</f>
        <v/>
      </c>
      <c r="AM11" s="173">
        <f>SUM(AE11:AL11)</f>
        <v>12500</v>
      </c>
      <c r="AN11" s="190">
        <f t="shared" ref="AN11:AN23" si="40">F11</f>
        <v>0</v>
      </c>
    </row>
    <row r="12" spans="1:40" s="8" customFormat="1" ht="12.75" outlineLevel="1" x14ac:dyDescent="0.2">
      <c r="B12" s="7"/>
      <c r="C12" s="7" t="s">
        <v>119</v>
      </c>
      <c r="D12" s="7"/>
      <c r="E12" s="7" t="str">
        <f>F363a_2024_Bestatt!$J$16</f>
        <v>Pflegeleichte Grabstätten (Sarg / Urne)</v>
      </c>
      <c r="F12" s="9"/>
      <c r="G12" s="7" t="s">
        <v>105</v>
      </c>
      <c r="H12" s="9">
        <v>2024</v>
      </c>
      <c r="I12" s="167">
        <f>F363a_2024_Bestatt!J19</f>
        <v>3500</v>
      </c>
      <c r="J12" s="164">
        <f>K12-I12</f>
        <v>665</v>
      </c>
      <c r="K12" s="165">
        <f>I12*1.19</f>
        <v>4165</v>
      </c>
      <c r="L12" s="11"/>
      <c r="M12" s="11">
        <f t="shared" ref="M12:M23" si="41">K12</f>
        <v>4165</v>
      </c>
      <c r="N12" s="11">
        <f t="shared" ref="N12" si="42">M12*$N$5+M12</f>
        <v>4373.25</v>
      </c>
      <c r="O12" s="11">
        <f t="shared" ref="O12" si="43">N12*$O$5+N12</f>
        <v>4591.9125000000004</v>
      </c>
      <c r="P12" s="11">
        <f t="shared" ref="P12" si="44">O12*$P$5+O12</f>
        <v>4821.5081250000003</v>
      </c>
      <c r="Q12" s="11">
        <f t="shared" ref="Q12" si="45">P12*$Q$5+P12</f>
        <v>5062.5835312500003</v>
      </c>
      <c r="R12" s="11">
        <f t="shared" ref="R12" si="46">Q12*$R$5+Q12</f>
        <v>5315.7127078125004</v>
      </c>
      <c r="S12" s="11">
        <f t="shared" ref="S12" si="47">R12*$S$5+R12</f>
        <v>5581.4983432031258</v>
      </c>
      <c r="T12" s="11">
        <f t="shared" ref="T12" si="48">S12*$T$5+S12</f>
        <v>5860.5732603632823</v>
      </c>
      <c r="U12" s="188"/>
      <c r="V12" s="184"/>
      <c r="W12" s="13">
        <f t="shared" ref="W12:W18" si="49">N12</f>
        <v>4373.25</v>
      </c>
      <c r="X12" s="13"/>
      <c r="Y12" s="13"/>
      <c r="Z12" s="13"/>
      <c r="AA12" s="13">
        <f t="shared" ref="AA12:AA18" si="50">R12</f>
        <v>5315.7127078125004</v>
      </c>
      <c r="AB12" s="13"/>
      <c r="AC12" s="13"/>
      <c r="AD12" s="173">
        <f>SUM(V12:AC12)</f>
        <v>9688.9627078125013</v>
      </c>
      <c r="AE12" s="178" t="str">
        <f t="shared" si="32"/>
        <v/>
      </c>
      <c r="AF12" s="178">
        <f t="shared" si="33"/>
        <v>4500</v>
      </c>
      <c r="AG12" s="178" t="str">
        <f t="shared" si="34"/>
        <v/>
      </c>
      <c r="AH12" s="178" t="str">
        <f t="shared" si="35"/>
        <v/>
      </c>
      <c r="AI12" s="178" t="str">
        <f t="shared" si="36"/>
        <v/>
      </c>
      <c r="AJ12" s="178">
        <f t="shared" si="37"/>
        <v>5500</v>
      </c>
      <c r="AK12" s="178" t="str">
        <f t="shared" si="38"/>
        <v/>
      </c>
      <c r="AL12" s="178" t="str">
        <f t="shared" si="39"/>
        <v/>
      </c>
      <c r="AM12" s="173">
        <f>SUM(AE12:AL12)</f>
        <v>10000</v>
      </c>
      <c r="AN12" s="190">
        <f t="shared" si="40"/>
        <v>0</v>
      </c>
    </row>
    <row r="13" spans="1:40" s="8" customFormat="1" ht="12.75" outlineLevel="1" x14ac:dyDescent="0.2">
      <c r="B13" s="7"/>
      <c r="C13" s="7" t="s">
        <v>120</v>
      </c>
      <c r="D13" s="7"/>
      <c r="E13" s="7" t="str">
        <f>F363a_2024_Bestatt!$J$16</f>
        <v>Pflegeleichte Grabstätten (Sarg / Urne)</v>
      </c>
      <c r="F13" s="9"/>
      <c r="G13" s="7" t="s">
        <v>105</v>
      </c>
      <c r="H13" s="9">
        <v>2024</v>
      </c>
      <c r="I13" s="167">
        <f>F363a_2024_Bestatt!J20</f>
        <v>3500</v>
      </c>
      <c r="J13" s="164">
        <f>K13-I13</f>
        <v>665</v>
      </c>
      <c r="K13" s="165">
        <f>I13*1.19</f>
        <v>4165</v>
      </c>
      <c r="L13" s="11"/>
      <c r="M13" s="11">
        <f t="shared" si="41"/>
        <v>4165</v>
      </c>
      <c r="N13" s="11">
        <f>K13*$N$5+K13</f>
        <v>4373.25</v>
      </c>
      <c r="O13" s="11">
        <f>N13*$O$5+N13</f>
        <v>4591.9125000000004</v>
      </c>
      <c r="P13" s="11">
        <f>O13*$P$5+O13</f>
        <v>4821.5081250000003</v>
      </c>
      <c r="Q13" s="11">
        <f>P13*$Q$5+P13</f>
        <v>5062.5835312500003</v>
      </c>
      <c r="R13" s="11">
        <f>Q13*$R$5+Q13</f>
        <v>5315.7127078125004</v>
      </c>
      <c r="S13" s="11">
        <f>R13*$R$5+R13</f>
        <v>5581.4983432031258</v>
      </c>
      <c r="T13" s="11">
        <f>S13*$R$5+S13</f>
        <v>5860.5732603632823</v>
      </c>
      <c r="U13" s="188"/>
      <c r="V13" s="184"/>
      <c r="W13" s="13">
        <f t="shared" si="49"/>
        <v>4373.25</v>
      </c>
      <c r="X13" s="13"/>
      <c r="Y13" s="13"/>
      <c r="Z13" s="13"/>
      <c r="AA13" s="13">
        <f t="shared" si="50"/>
        <v>5315.7127078125004</v>
      </c>
      <c r="AB13" s="13"/>
      <c r="AC13" s="13"/>
      <c r="AD13" s="173">
        <f>SUM(V13:AC13)</f>
        <v>9688.9627078125013</v>
      </c>
      <c r="AE13" s="178" t="str">
        <f t="shared" ref="AE13:AL13" si="51">IF(V13="","",IF(V13=0,"",ROUNDUP(V13/500,0)*500))</f>
        <v/>
      </c>
      <c r="AF13" s="178">
        <f t="shared" si="51"/>
        <v>4500</v>
      </c>
      <c r="AG13" s="178" t="str">
        <f t="shared" si="51"/>
        <v/>
      </c>
      <c r="AH13" s="178" t="str">
        <f t="shared" si="51"/>
        <v/>
      </c>
      <c r="AI13" s="178" t="str">
        <f t="shared" si="51"/>
        <v/>
      </c>
      <c r="AJ13" s="178">
        <f t="shared" si="51"/>
        <v>5500</v>
      </c>
      <c r="AK13" s="178" t="str">
        <f t="shared" si="51"/>
        <v/>
      </c>
      <c r="AL13" s="178" t="str">
        <f t="shared" si="51"/>
        <v/>
      </c>
      <c r="AM13" s="173">
        <f>SUM(AE13:AL13)</f>
        <v>10000</v>
      </c>
      <c r="AN13" s="190">
        <f t="shared" si="40"/>
        <v>0</v>
      </c>
    </row>
    <row r="14" spans="1:40" s="8" customFormat="1" ht="12.75" outlineLevel="1" x14ac:dyDescent="0.2">
      <c r="B14" s="7"/>
      <c r="C14" s="7" t="s">
        <v>115</v>
      </c>
      <c r="D14" s="7"/>
      <c r="E14" s="7" t="str">
        <f>F363a_2024_Bestatt!$J$16</f>
        <v>Pflegeleichte Grabstätten (Sarg / Urne)</v>
      </c>
      <c r="F14" s="9"/>
      <c r="G14" s="7" t="s">
        <v>105</v>
      </c>
      <c r="H14" s="9">
        <v>2024</v>
      </c>
      <c r="I14" s="167">
        <f>F363a_2024_Bestatt!J21</f>
        <v>2625</v>
      </c>
      <c r="J14" s="164">
        <f t="shared" ref="J14" si="52">K14-I14</f>
        <v>498.75</v>
      </c>
      <c r="K14" s="165">
        <f t="shared" ref="K14" si="53">I14*1.19</f>
        <v>3123.75</v>
      </c>
      <c r="L14" s="11"/>
      <c r="M14" s="11">
        <f t="shared" si="41"/>
        <v>3123.75</v>
      </c>
      <c r="N14" s="11">
        <f t="shared" ref="N14:N23" si="54">M14*$N$5+M14</f>
        <v>3279.9375</v>
      </c>
      <c r="O14" s="11">
        <f t="shared" si="26"/>
        <v>3443.9343749999998</v>
      </c>
      <c r="P14" s="11">
        <f t="shared" si="27"/>
        <v>3616.1310937499998</v>
      </c>
      <c r="Q14" s="11">
        <f t="shared" si="28"/>
        <v>3796.9376484374998</v>
      </c>
      <c r="R14" s="11">
        <f t="shared" si="29"/>
        <v>3986.7845308593746</v>
      </c>
      <c r="S14" s="11">
        <f t="shared" si="30"/>
        <v>4186.1237574023435</v>
      </c>
      <c r="T14" s="11">
        <f t="shared" si="31"/>
        <v>4395.4299452724608</v>
      </c>
      <c r="U14" s="188"/>
      <c r="V14" s="184"/>
      <c r="W14" s="13">
        <f t="shared" si="49"/>
        <v>3279.9375</v>
      </c>
      <c r="X14" s="13"/>
      <c r="Y14" s="13"/>
      <c r="Z14" s="13"/>
      <c r="AA14" s="13">
        <f t="shared" si="50"/>
        <v>3986.7845308593746</v>
      </c>
      <c r="AB14" s="13"/>
      <c r="AC14" s="13"/>
      <c r="AD14" s="173">
        <f t="shared" si="6"/>
        <v>7266.7220308593751</v>
      </c>
      <c r="AE14" s="178" t="str">
        <f t="shared" si="32"/>
        <v/>
      </c>
      <c r="AF14" s="178">
        <f t="shared" si="33"/>
        <v>3500</v>
      </c>
      <c r="AG14" s="178" t="str">
        <f t="shared" si="34"/>
        <v/>
      </c>
      <c r="AH14" s="178" t="str">
        <f t="shared" si="35"/>
        <v/>
      </c>
      <c r="AI14" s="178" t="str">
        <f t="shared" si="36"/>
        <v/>
      </c>
      <c r="AJ14" s="178">
        <f t="shared" si="37"/>
        <v>4000</v>
      </c>
      <c r="AK14" s="178" t="str">
        <f t="shared" si="38"/>
        <v/>
      </c>
      <c r="AL14" s="178" t="str">
        <f t="shared" si="39"/>
        <v/>
      </c>
      <c r="AM14" s="173">
        <f t="shared" ref="AM14" si="55">SUM(AE14:AL14)</f>
        <v>7500</v>
      </c>
      <c r="AN14" s="190">
        <f t="shared" si="40"/>
        <v>0</v>
      </c>
    </row>
    <row r="15" spans="1:40" s="8" customFormat="1" ht="12.75" outlineLevel="1" x14ac:dyDescent="0.2">
      <c r="B15" s="7"/>
      <c r="C15" s="7" t="s">
        <v>118</v>
      </c>
      <c r="D15" s="7"/>
      <c r="E15" s="7" t="str">
        <f>F363a_2024_Bestatt!$M$16</f>
        <v>Hochwertige Urnengemeinschaft</v>
      </c>
      <c r="F15" s="9"/>
      <c r="G15" s="7" t="s">
        <v>105</v>
      </c>
      <c r="H15" s="9">
        <v>2024</v>
      </c>
      <c r="I15" s="163">
        <f>F363a_2024_Bestatt!M18</f>
        <v>40000</v>
      </c>
      <c r="J15" s="164">
        <f>K15-I15</f>
        <v>7600</v>
      </c>
      <c r="K15" s="165">
        <f>I15*1.19</f>
        <v>47600</v>
      </c>
      <c r="L15" s="11"/>
      <c r="M15" s="11">
        <f t="shared" si="41"/>
        <v>47600</v>
      </c>
      <c r="N15" s="11">
        <f t="shared" si="54"/>
        <v>49980</v>
      </c>
      <c r="O15" s="11">
        <f t="shared" si="26"/>
        <v>52479</v>
      </c>
      <c r="P15" s="11">
        <f t="shared" si="27"/>
        <v>55102.95</v>
      </c>
      <c r="Q15" s="11">
        <f t="shared" si="28"/>
        <v>57858.097499999996</v>
      </c>
      <c r="R15" s="11">
        <f t="shared" si="29"/>
        <v>60751.002374999996</v>
      </c>
      <c r="S15" s="11">
        <f t="shared" si="30"/>
        <v>63788.552493749994</v>
      </c>
      <c r="T15" s="11">
        <f t="shared" si="31"/>
        <v>66977.980118437496</v>
      </c>
      <c r="U15" s="188"/>
      <c r="V15" s="184"/>
      <c r="W15" s="13">
        <f t="shared" si="49"/>
        <v>49980</v>
      </c>
      <c r="X15" s="13"/>
      <c r="Y15" s="13"/>
      <c r="Z15" s="13"/>
      <c r="AA15" s="13">
        <f t="shared" si="50"/>
        <v>60751.002374999996</v>
      </c>
      <c r="AB15" s="13"/>
      <c r="AC15" s="13"/>
      <c r="AD15" s="173">
        <f>SUM(V15:AC15)</f>
        <v>110731.002375</v>
      </c>
      <c r="AE15" s="178" t="str">
        <f t="shared" ref="AE15:AE18" si="56">IF(V15="","",IF(V15=0,"",ROUNDUP(V15/500,0)*500))</f>
        <v/>
      </c>
      <c r="AF15" s="178">
        <f t="shared" ref="AF15:AF19" si="57">IF(W15="","",IF(W15=0,"",ROUNDUP(W15/500,0)*500))</f>
        <v>50000</v>
      </c>
      <c r="AG15" s="178" t="str">
        <f t="shared" ref="AG15:AG18" si="58">IF(X15="","",IF(X15=0,"",ROUNDUP(X15/500,0)*500))</f>
        <v/>
      </c>
      <c r="AH15" s="178" t="str">
        <f t="shared" ref="AH15:AH18" si="59">IF(Y15="","",IF(Y15=0,"",ROUNDUP(Y15/500,0)*500))</f>
        <v/>
      </c>
      <c r="AI15" s="178" t="str">
        <f t="shared" ref="AI15:AI18" si="60">IF(Z15="","",IF(Z15=0,"",ROUNDUP(Z15/500,0)*500))</f>
        <v/>
      </c>
      <c r="AJ15" s="178">
        <f t="shared" ref="AJ15:AJ18" si="61">IF(AA15="","",IF(AA15=0,"",ROUNDUP(AA15/500,0)*500))</f>
        <v>61000</v>
      </c>
      <c r="AK15" s="178" t="str">
        <f t="shared" ref="AK15:AK18" si="62">IF(AB15="","",IF(AB15=0,"",ROUNDUP(AB15/500,0)*500))</f>
        <v/>
      </c>
      <c r="AL15" s="178" t="str">
        <f t="shared" ref="AL15:AL18" si="63">IF(AC15="","",IF(AC15=0,"",ROUNDUP(AC15/500,0)*500))</f>
        <v/>
      </c>
      <c r="AM15" s="173">
        <f>SUM(AE15:AL15)</f>
        <v>111000</v>
      </c>
      <c r="AN15" s="190">
        <f t="shared" si="40"/>
        <v>0</v>
      </c>
    </row>
    <row r="16" spans="1:40" s="8" customFormat="1" ht="12.75" outlineLevel="1" x14ac:dyDescent="0.2">
      <c r="B16" s="7"/>
      <c r="C16" s="7" t="s">
        <v>119</v>
      </c>
      <c r="D16" s="7"/>
      <c r="E16" s="7" t="str">
        <f>F363a_2024_Bestatt!$M$16</f>
        <v>Hochwertige Urnengemeinschaft</v>
      </c>
      <c r="F16" s="9"/>
      <c r="G16" s="7" t="s">
        <v>105</v>
      </c>
      <c r="H16" s="9">
        <v>2024</v>
      </c>
      <c r="I16" s="163">
        <f>F363a_2024_Bestatt!M19</f>
        <v>20000</v>
      </c>
      <c r="J16" s="164">
        <f>K16-I16</f>
        <v>3800</v>
      </c>
      <c r="K16" s="165">
        <f>I16*1.19</f>
        <v>23800</v>
      </c>
      <c r="L16" s="11"/>
      <c r="M16" s="11">
        <f t="shared" si="41"/>
        <v>23800</v>
      </c>
      <c r="N16" s="11">
        <f>K16*$N$5+K16</f>
        <v>24990</v>
      </c>
      <c r="O16" s="11">
        <f>N16*$O$5+N16</f>
        <v>26239.5</v>
      </c>
      <c r="P16" s="11">
        <f>O16*$P$5+O16</f>
        <v>27551.474999999999</v>
      </c>
      <c r="Q16" s="11">
        <f>P16*$Q$5+P16</f>
        <v>28929.048749999998</v>
      </c>
      <c r="R16" s="11">
        <f t="shared" si="29"/>
        <v>30375.501187499998</v>
      </c>
      <c r="S16" s="11">
        <f t="shared" ref="S16:S17" si="64">R16*$R$5+R16</f>
        <v>31894.276246874997</v>
      </c>
      <c r="T16" s="11">
        <f t="shared" ref="T16:T17" si="65">S16*$R$5+S16</f>
        <v>33488.990059218748</v>
      </c>
      <c r="U16" s="188"/>
      <c r="V16" s="184"/>
      <c r="W16" s="13">
        <f t="shared" si="49"/>
        <v>24990</v>
      </c>
      <c r="X16" s="13"/>
      <c r="Y16" s="13"/>
      <c r="Z16" s="13"/>
      <c r="AA16" s="13">
        <f t="shared" si="50"/>
        <v>30375.501187499998</v>
      </c>
      <c r="AB16" s="13"/>
      <c r="AC16" s="13"/>
      <c r="AD16" s="173">
        <f>SUM(V16:AC16)</f>
        <v>55365.501187499998</v>
      </c>
      <c r="AE16" s="178" t="str">
        <f t="shared" si="56"/>
        <v/>
      </c>
      <c r="AF16" s="178">
        <f t="shared" si="57"/>
        <v>25000</v>
      </c>
      <c r="AG16" s="178" t="str">
        <f t="shared" si="58"/>
        <v/>
      </c>
      <c r="AH16" s="178" t="str">
        <f t="shared" si="59"/>
        <v/>
      </c>
      <c r="AI16" s="178" t="str">
        <f t="shared" si="60"/>
        <v/>
      </c>
      <c r="AJ16" s="178">
        <f t="shared" si="61"/>
        <v>30500</v>
      </c>
      <c r="AK16" s="178" t="str">
        <f t="shared" si="62"/>
        <v/>
      </c>
      <c r="AL16" s="178" t="str">
        <f t="shared" si="63"/>
        <v/>
      </c>
      <c r="AM16" s="173">
        <f>SUM(AE16:AL16)</f>
        <v>55500</v>
      </c>
      <c r="AN16" s="190">
        <f t="shared" si="40"/>
        <v>0</v>
      </c>
    </row>
    <row r="17" spans="1:40" s="8" customFormat="1" ht="12.75" outlineLevel="1" x14ac:dyDescent="0.2">
      <c r="B17" s="7"/>
      <c r="C17" s="7" t="s">
        <v>120</v>
      </c>
      <c r="D17" s="7"/>
      <c r="E17" s="7" t="str">
        <f>F363a_2024_Bestatt!$M$16</f>
        <v>Hochwertige Urnengemeinschaft</v>
      </c>
      <c r="F17" s="9"/>
      <c r="G17" s="7" t="s">
        <v>105</v>
      </c>
      <c r="H17" s="9">
        <v>2024</v>
      </c>
      <c r="I17" s="163">
        <f>F363a_2024_Bestatt!M20</f>
        <v>25000</v>
      </c>
      <c r="J17" s="164">
        <f>K17-I17</f>
        <v>4750</v>
      </c>
      <c r="K17" s="165">
        <f>I17*1.19</f>
        <v>29750</v>
      </c>
      <c r="L17" s="11"/>
      <c r="M17" s="11">
        <f t="shared" si="41"/>
        <v>29750</v>
      </c>
      <c r="N17" s="11">
        <f>K17*$N$5+K17</f>
        <v>31237.5</v>
      </c>
      <c r="O17" s="11">
        <f>N17*$O$5+N17</f>
        <v>32799.375</v>
      </c>
      <c r="P17" s="11">
        <f>O17*$P$5+O17</f>
        <v>34439.34375</v>
      </c>
      <c r="Q17" s="11">
        <f>P17*$Q$5+P17</f>
        <v>36161.310937499999</v>
      </c>
      <c r="R17" s="11">
        <f t="shared" si="29"/>
        <v>37969.376484374996</v>
      </c>
      <c r="S17" s="11">
        <f t="shared" si="64"/>
        <v>39867.845308593744</v>
      </c>
      <c r="T17" s="11">
        <f t="shared" si="65"/>
        <v>41861.237574023427</v>
      </c>
      <c r="U17" s="188"/>
      <c r="V17" s="184"/>
      <c r="W17" s="13">
        <f t="shared" si="49"/>
        <v>31237.5</v>
      </c>
      <c r="X17" s="13"/>
      <c r="Y17" s="13"/>
      <c r="Z17" s="13"/>
      <c r="AA17" s="13">
        <f t="shared" si="50"/>
        <v>37969.376484374996</v>
      </c>
      <c r="AB17" s="13"/>
      <c r="AC17" s="13"/>
      <c r="AD17" s="173">
        <f>SUM(V17:AC17)</f>
        <v>69206.876484374996</v>
      </c>
      <c r="AE17" s="178" t="str">
        <f t="shared" si="56"/>
        <v/>
      </c>
      <c r="AF17" s="178">
        <f t="shared" si="57"/>
        <v>31500</v>
      </c>
      <c r="AG17" s="178" t="str">
        <f t="shared" si="58"/>
        <v/>
      </c>
      <c r="AH17" s="178" t="str">
        <f t="shared" si="59"/>
        <v/>
      </c>
      <c r="AI17" s="178" t="str">
        <f t="shared" si="60"/>
        <v/>
      </c>
      <c r="AJ17" s="178">
        <f t="shared" si="61"/>
        <v>38000</v>
      </c>
      <c r="AK17" s="178" t="str">
        <f t="shared" si="62"/>
        <v/>
      </c>
      <c r="AL17" s="178" t="str">
        <f t="shared" si="63"/>
        <v/>
      </c>
      <c r="AM17" s="173">
        <f>SUM(AE17:AL17)</f>
        <v>69500</v>
      </c>
      <c r="AN17" s="190">
        <f t="shared" si="40"/>
        <v>0</v>
      </c>
    </row>
    <row r="18" spans="1:40" s="8" customFormat="1" ht="12.75" outlineLevel="1" x14ac:dyDescent="0.2">
      <c r="B18" s="7"/>
      <c r="C18" s="7" t="s">
        <v>115</v>
      </c>
      <c r="D18" s="7"/>
      <c r="E18" s="7" t="str">
        <f>F363a_2024_Bestatt!$M$16</f>
        <v>Hochwertige Urnengemeinschaft</v>
      </c>
      <c r="F18" s="9"/>
      <c r="G18" s="7" t="s">
        <v>105</v>
      </c>
      <c r="H18" s="9">
        <v>2024</v>
      </c>
      <c r="I18" s="163">
        <f>F363a_2024_Bestatt!M21</f>
        <v>10000</v>
      </c>
      <c r="J18" s="164">
        <f t="shared" ref="J18" si="66">K18-I18</f>
        <v>1900</v>
      </c>
      <c r="K18" s="165">
        <f t="shared" ref="K18" si="67">I18*1.19</f>
        <v>11900</v>
      </c>
      <c r="L18" s="11"/>
      <c r="M18" s="11">
        <f t="shared" si="41"/>
        <v>11900</v>
      </c>
      <c r="N18" s="11">
        <f t="shared" ref="N18" si="68">M18*$N$5+M18</f>
        <v>12495</v>
      </c>
      <c r="O18" s="11">
        <f t="shared" ref="O18" si="69">N18*$O$5+N18</f>
        <v>13119.75</v>
      </c>
      <c r="P18" s="11">
        <f t="shared" ref="P18" si="70">O18*$P$5+O18</f>
        <v>13775.737499999999</v>
      </c>
      <c r="Q18" s="11">
        <f t="shared" ref="Q18" si="71">P18*$Q$5+P18</f>
        <v>14464.524374999999</v>
      </c>
      <c r="R18" s="11">
        <f t="shared" si="29"/>
        <v>15187.750593749999</v>
      </c>
      <c r="S18" s="11">
        <f t="shared" ref="S18" si="72">R18*$S$5+R18</f>
        <v>15947.138123437499</v>
      </c>
      <c r="T18" s="11">
        <f t="shared" ref="T18" si="73">S18*$T$5+S18</f>
        <v>16744.495029609374</v>
      </c>
      <c r="U18" s="188"/>
      <c r="V18" s="184"/>
      <c r="W18" s="13">
        <f t="shared" si="49"/>
        <v>12495</v>
      </c>
      <c r="X18" s="13"/>
      <c r="Y18" s="13"/>
      <c r="Z18" s="13"/>
      <c r="AA18" s="13">
        <f t="shared" si="50"/>
        <v>15187.750593749999</v>
      </c>
      <c r="AB18" s="13"/>
      <c r="AC18" s="13"/>
      <c r="AD18" s="173">
        <f t="shared" ref="AD18" si="74">SUM(V18:AC18)</f>
        <v>27682.750593749999</v>
      </c>
      <c r="AE18" s="178" t="str">
        <f t="shared" si="56"/>
        <v/>
      </c>
      <c r="AF18" s="178">
        <f t="shared" si="57"/>
        <v>12500</v>
      </c>
      <c r="AG18" s="178" t="str">
        <f t="shared" si="58"/>
        <v/>
      </c>
      <c r="AH18" s="178" t="str">
        <f t="shared" si="59"/>
        <v/>
      </c>
      <c r="AI18" s="178" t="str">
        <f t="shared" si="60"/>
        <v/>
      </c>
      <c r="AJ18" s="178">
        <f t="shared" si="61"/>
        <v>15500</v>
      </c>
      <c r="AK18" s="178" t="str">
        <f t="shared" si="62"/>
        <v/>
      </c>
      <c r="AL18" s="178" t="str">
        <f t="shared" si="63"/>
        <v/>
      </c>
      <c r="AM18" s="173">
        <f t="shared" ref="AM18" si="75">SUM(AE18:AL18)</f>
        <v>28000</v>
      </c>
      <c r="AN18" s="190">
        <f t="shared" si="40"/>
        <v>0</v>
      </c>
    </row>
    <row r="19" spans="1:40" s="8" customFormat="1" ht="12.75" outlineLevel="1" x14ac:dyDescent="0.2">
      <c r="B19" s="7"/>
      <c r="C19" s="7" t="s">
        <v>118</v>
      </c>
      <c r="D19" s="7"/>
      <c r="E19" s="7" t="str">
        <f>F363a_2024_Bestatt!$P$16</f>
        <v>Urnenfächer (für 2 Urnen o. 3 Kapseln)</v>
      </c>
      <c r="F19" s="9"/>
      <c r="G19" s="7" t="s">
        <v>103</v>
      </c>
      <c r="H19" s="9">
        <v>2024</v>
      </c>
      <c r="I19" s="163">
        <f>85000/119*100</f>
        <v>71428.571428571435</v>
      </c>
      <c r="J19" s="164">
        <f>K19-I19</f>
        <v>13571.428571428565</v>
      </c>
      <c r="K19" s="165">
        <f>I19*1.19</f>
        <v>85000</v>
      </c>
      <c r="L19" s="11"/>
      <c r="M19" s="11">
        <f t="shared" si="41"/>
        <v>85000</v>
      </c>
      <c r="N19" s="11">
        <f t="shared" ref="N19:N22" si="76">M19*$N$5+M19</f>
        <v>89250</v>
      </c>
      <c r="O19" s="11">
        <f t="shared" ref="O19:O22" si="77">N19*$O$5+N19</f>
        <v>93712.5</v>
      </c>
      <c r="P19" s="11">
        <f t="shared" ref="P19:P22" si="78">O19*$P$5+O19</f>
        <v>98398.125</v>
      </c>
      <c r="Q19" s="11">
        <f t="shared" ref="Q19:Q22" si="79">P19*$Q$5+P19</f>
        <v>103318.03125</v>
      </c>
      <c r="R19" s="11">
        <f t="shared" ref="R19:R22" si="80">Q19*$R$5+Q19</f>
        <v>108483.9328125</v>
      </c>
      <c r="S19" s="11">
        <f t="shared" ref="S19:S22" si="81">R19*$S$5+R19</f>
        <v>113908.129453125</v>
      </c>
      <c r="T19" s="11">
        <f t="shared" ref="T19:T22" si="82">S19*$T$5+S19</f>
        <v>119603.53592578125</v>
      </c>
      <c r="U19" s="188"/>
      <c r="V19" s="184"/>
      <c r="W19" s="13">
        <f>N19</f>
        <v>89250</v>
      </c>
      <c r="X19" s="13"/>
      <c r="Y19" s="13"/>
      <c r="Z19" s="13"/>
      <c r="AA19" s="13"/>
      <c r="AB19" s="13"/>
      <c r="AC19" s="13"/>
      <c r="AD19" s="173">
        <f>SUM(V19:AC19)</f>
        <v>89250</v>
      </c>
      <c r="AE19" s="178" t="str">
        <f t="shared" si="32"/>
        <v/>
      </c>
      <c r="AF19" s="178">
        <f t="shared" si="57"/>
        <v>89500</v>
      </c>
      <c r="AG19" s="178" t="str">
        <f t="shared" si="34"/>
        <v/>
      </c>
      <c r="AH19" s="178"/>
      <c r="AI19" s="178" t="str">
        <f t="shared" si="36"/>
        <v/>
      </c>
      <c r="AJ19" s="178" t="str">
        <f t="shared" si="37"/>
        <v/>
      </c>
      <c r="AK19" s="178" t="str">
        <f t="shared" si="38"/>
        <v/>
      </c>
      <c r="AL19" s="178" t="str">
        <f t="shared" si="39"/>
        <v/>
      </c>
      <c r="AM19" s="173">
        <f>SUM(AE19:AL19)</f>
        <v>89500</v>
      </c>
      <c r="AN19" s="190">
        <f t="shared" si="40"/>
        <v>0</v>
      </c>
    </row>
    <row r="20" spans="1:40" s="8" customFormat="1" ht="12.75" outlineLevel="1" x14ac:dyDescent="0.2">
      <c r="B20" s="7"/>
      <c r="C20" s="7" t="s">
        <v>119</v>
      </c>
      <c r="D20" s="7"/>
      <c r="E20" s="7" t="str">
        <f>F363a_2024_Bestatt!$P$16</f>
        <v>Urnenfächer (für 2 Urnen o. 3 Kapseln)</v>
      </c>
      <c r="F20" s="9"/>
      <c r="G20" s="7" t="s">
        <v>103</v>
      </c>
      <c r="H20" s="9">
        <v>2024</v>
      </c>
      <c r="I20" s="163">
        <f>59000/119*100</f>
        <v>49579.831932773108</v>
      </c>
      <c r="J20" s="164">
        <f>K20-I20</f>
        <v>9420.1680672268849</v>
      </c>
      <c r="K20" s="165">
        <f>I20*1.19</f>
        <v>58999.999999999993</v>
      </c>
      <c r="L20" s="11"/>
      <c r="M20" s="11">
        <f t="shared" si="41"/>
        <v>58999.999999999993</v>
      </c>
      <c r="N20" s="11">
        <f>K20*$N$5+K20</f>
        <v>61949.999999999993</v>
      </c>
      <c r="O20" s="11">
        <f>N20*$O$5+N20</f>
        <v>65047.499999999993</v>
      </c>
      <c r="P20" s="11">
        <f>O20*$P$5+O20</f>
        <v>68299.875</v>
      </c>
      <c r="Q20" s="11">
        <f>P20*$Q$5+P20</f>
        <v>71714.868749999994</v>
      </c>
      <c r="R20" s="11">
        <f t="shared" ref="R20:T21" si="83">Q20*$R$5+Q20</f>
        <v>75300.612187499995</v>
      </c>
      <c r="S20" s="11">
        <f t="shared" si="83"/>
        <v>79065.642796874992</v>
      </c>
      <c r="T20" s="11">
        <f t="shared" si="83"/>
        <v>83018.924936718744</v>
      </c>
      <c r="U20" s="188"/>
      <c r="V20" s="184"/>
      <c r="W20" s="13">
        <f>N20</f>
        <v>61949.999999999993</v>
      </c>
      <c r="X20" s="13"/>
      <c r="Y20" s="13"/>
      <c r="Z20" s="13"/>
      <c r="AA20" s="13"/>
      <c r="AB20" s="13"/>
      <c r="AC20" s="13"/>
      <c r="AD20" s="173">
        <f>SUM(V20:AC20)</f>
        <v>61949.999999999993</v>
      </c>
      <c r="AE20" s="178" t="str">
        <f t="shared" ref="AE20:AL21" si="84">IF(V20="","",IF(V20=0,"",ROUNDUP(V20/500,0)*500))</f>
        <v/>
      </c>
      <c r="AF20" s="178">
        <f t="shared" si="84"/>
        <v>62000</v>
      </c>
      <c r="AG20" s="178" t="str">
        <f t="shared" si="84"/>
        <v/>
      </c>
      <c r="AH20" s="178" t="str">
        <f t="shared" si="84"/>
        <v/>
      </c>
      <c r="AI20" s="178" t="str">
        <f t="shared" si="84"/>
        <v/>
      </c>
      <c r="AJ20" s="178" t="str">
        <f t="shared" si="84"/>
        <v/>
      </c>
      <c r="AK20" s="178" t="str">
        <f t="shared" si="84"/>
        <v/>
      </c>
      <c r="AL20" s="178" t="str">
        <f t="shared" si="84"/>
        <v/>
      </c>
      <c r="AM20" s="173">
        <f>SUM(AE20:AL20)</f>
        <v>62000</v>
      </c>
      <c r="AN20" s="190">
        <f t="shared" si="40"/>
        <v>0</v>
      </c>
    </row>
    <row r="21" spans="1:40" s="8" customFormat="1" ht="12.75" outlineLevel="1" x14ac:dyDescent="0.2">
      <c r="B21" s="7"/>
      <c r="C21" s="7" t="s">
        <v>120</v>
      </c>
      <c r="D21" s="7"/>
      <c r="E21" s="7" t="str">
        <f>F363a_2024_Bestatt!$P$16</f>
        <v>Urnenfächer (für 2 Urnen o. 3 Kapseln)</v>
      </c>
      <c r="F21" s="9"/>
      <c r="G21" s="7" t="s">
        <v>103</v>
      </c>
      <c r="H21" s="9">
        <v>2024</v>
      </c>
      <c r="I21" s="163">
        <f>54000/119*100</f>
        <v>45378.151260504201</v>
      </c>
      <c r="J21" s="164">
        <f>K21-I21</f>
        <v>8621.8487394957992</v>
      </c>
      <c r="K21" s="165">
        <f>I21*1.19</f>
        <v>54000</v>
      </c>
      <c r="L21" s="11"/>
      <c r="M21" s="11">
        <f t="shared" si="41"/>
        <v>54000</v>
      </c>
      <c r="N21" s="11">
        <f>K21*$N$5+K21</f>
        <v>56700</v>
      </c>
      <c r="O21" s="11">
        <f>N21*$O$5+N21</f>
        <v>59535</v>
      </c>
      <c r="P21" s="11">
        <f>O21*$P$5+O21</f>
        <v>62511.75</v>
      </c>
      <c r="Q21" s="11">
        <f>P21*$Q$5+P21</f>
        <v>65637.337499999994</v>
      </c>
      <c r="R21" s="11">
        <f t="shared" si="83"/>
        <v>68919.204375000001</v>
      </c>
      <c r="S21" s="11">
        <f t="shared" si="83"/>
        <v>72365.16459375</v>
      </c>
      <c r="T21" s="11">
        <f t="shared" si="83"/>
        <v>75983.422823437504</v>
      </c>
      <c r="U21" s="188"/>
      <c r="V21" s="184"/>
      <c r="W21" s="13">
        <f>N21</f>
        <v>56700</v>
      </c>
      <c r="X21" s="13"/>
      <c r="Y21" s="13"/>
      <c r="Z21" s="13"/>
      <c r="AA21" s="13"/>
      <c r="AB21" s="13"/>
      <c r="AC21" s="13"/>
      <c r="AD21" s="173">
        <f>SUM(V21:AC21)</f>
        <v>56700</v>
      </c>
      <c r="AE21" s="178" t="str">
        <f t="shared" si="84"/>
        <v/>
      </c>
      <c r="AF21" s="178">
        <f t="shared" si="84"/>
        <v>57000</v>
      </c>
      <c r="AG21" s="178" t="str">
        <f t="shared" si="84"/>
        <v/>
      </c>
      <c r="AH21" s="178" t="str">
        <f t="shared" si="84"/>
        <v/>
      </c>
      <c r="AI21" s="178" t="str">
        <f t="shared" si="84"/>
        <v/>
      </c>
      <c r="AJ21" s="178" t="str">
        <f t="shared" si="84"/>
        <v/>
      </c>
      <c r="AK21" s="178" t="str">
        <f t="shared" si="84"/>
        <v/>
      </c>
      <c r="AL21" s="178" t="str">
        <f t="shared" si="84"/>
        <v/>
      </c>
      <c r="AM21" s="173">
        <f>SUM(AE21:AL21)</f>
        <v>57000</v>
      </c>
      <c r="AN21" s="190">
        <f t="shared" si="40"/>
        <v>0</v>
      </c>
    </row>
    <row r="22" spans="1:40" s="8" customFormat="1" ht="12.75" outlineLevel="1" x14ac:dyDescent="0.2">
      <c r="B22" s="7"/>
      <c r="C22" s="7" t="s">
        <v>115</v>
      </c>
      <c r="D22" s="7"/>
      <c r="E22" s="7" t="str">
        <f>F363a_2024_Bestatt!$P$16</f>
        <v>Urnenfächer (für 2 Urnen o. 3 Kapseln)</v>
      </c>
      <c r="F22" s="9"/>
      <c r="G22" s="7" t="s">
        <v>103</v>
      </c>
      <c r="H22" s="9">
        <v>2024</v>
      </c>
      <c r="I22" s="163">
        <f>31000/119*100</f>
        <v>26050.420168067227</v>
      </c>
      <c r="J22" s="164">
        <f t="shared" ref="J22" si="85">K22-I22</f>
        <v>4949.5798319327732</v>
      </c>
      <c r="K22" s="165">
        <f t="shared" ref="K22" si="86">I22*1.19</f>
        <v>31000</v>
      </c>
      <c r="L22" s="11"/>
      <c r="M22" s="11">
        <f t="shared" si="41"/>
        <v>31000</v>
      </c>
      <c r="N22" s="11">
        <f t="shared" si="76"/>
        <v>32550</v>
      </c>
      <c r="O22" s="11">
        <f t="shared" si="77"/>
        <v>34177.5</v>
      </c>
      <c r="P22" s="11">
        <f t="shared" si="78"/>
        <v>35886.375</v>
      </c>
      <c r="Q22" s="11">
        <f t="shared" si="79"/>
        <v>37680.693749999999</v>
      </c>
      <c r="R22" s="11">
        <f t="shared" si="80"/>
        <v>39564.728437500002</v>
      </c>
      <c r="S22" s="11">
        <f t="shared" si="81"/>
        <v>41542.964859375003</v>
      </c>
      <c r="T22" s="11">
        <f t="shared" si="82"/>
        <v>43620.113102343756</v>
      </c>
      <c r="U22" s="188"/>
      <c r="V22" s="184"/>
      <c r="W22" s="13">
        <f>N22</f>
        <v>32550</v>
      </c>
      <c r="X22" s="13"/>
      <c r="Y22" s="13"/>
      <c r="Z22" s="13"/>
      <c r="AA22" s="13"/>
      <c r="AB22" s="13"/>
      <c r="AC22" s="13"/>
      <c r="AD22" s="173">
        <f t="shared" ref="AD22" si="87">SUM(V22:AC22)</f>
        <v>32550</v>
      </c>
      <c r="AE22" s="178" t="str">
        <f t="shared" si="32"/>
        <v/>
      </c>
      <c r="AF22" s="178">
        <f t="shared" si="33"/>
        <v>33000</v>
      </c>
      <c r="AG22" s="178" t="str">
        <f t="shared" si="34"/>
        <v/>
      </c>
      <c r="AH22" s="178" t="str">
        <f t="shared" si="35"/>
        <v/>
      </c>
      <c r="AI22" s="178" t="str">
        <f t="shared" si="36"/>
        <v/>
      </c>
      <c r="AJ22" s="178" t="str">
        <f t="shared" si="37"/>
        <v/>
      </c>
      <c r="AK22" s="178" t="str">
        <f t="shared" si="38"/>
        <v/>
      </c>
      <c r="AL22" s="178" t="str">
        <f t="shared" si="39"/>
        <v/>
      </c>
      <c r="AM22" s="173">
        <f t="shared" ref="AM22" si="88">SUM(AE22:AL22)</f>
        <v>33000</v>
      </c>
      <c r="AN22" s="190">
        <f t="shared" si="40"/>
        <v>0</v>
      </c>
    </row>
    <row r="23" spans="1:40" s="8" customFormat="1" ht="12.75" outlineLevel="1" x14ac:dyDescent="0.2">
      <c r="B23" s="7"/>
      <c r="C23" s="7"/>
      <c r="D23" s="7"/>
      <c r="E23" s="7"/>
      <c r="F23" s="9"/>
      <c r="G23" s="7"/>
      <c r="H23" s="9"/>
      <c r="I23" s="163"/>
      <c r="J23" s="164"/>
      <c r="K23" s="165"/>
      <c r="L23" s="11"/>
      <c r="M23" s="11">
        <f t="shared" si="41"/>
        <v>0</v>
      </c>
      <c r="N23" s="11">
        <f t="shared" si="54"/>
        <v>0</v>
      </c>
      <c r="O23" s="11">
        <f t="shared" ref="O23" si="89">N23*$O$5+N23</f>
        <v>0</v>
      </c>
      <c r="P23" s="11">
        <f t="shared" ref="P23" si="90">O23*$P$5+O23</f>
        <v>0</v>
      </c>
      <c r="Q23" s="11">
        <f t="shared" ref="Q23" si="91">P23*$Q$5+P23</f>
        <v>0</v>
      </c>
      <c r="R23" s="11">
        <f t="shared" ref="R23" si="92">L23+(L23*$M$5)</f>
        <v>0</v>
      </c>
      <c r="S23" s="11">
        <f t="shared" ref="S23" si="93">M23+(M23*$M$5)</f>
        <v>0</v>
      </c>
      <c r="T23" s="11">
        <f t="shared" ref="T23" si="94">N23+(N23*$M$5)</f>
        <v>0</v>
      </c>
      <c r="U23" s="11"/>
      <c r="V23" s="184"/>
      <c r="W23" s="13"/>
      <c r="X23" s="13"/>
      <c r="Y23" s="13"/>
      <c r="Z23" s="13"/>
      <c r="AA23" s="13"/>
      <c r="AB23" s="13"/>
      <c r="AC23" s="13"/>
      <c r="AD23" s="173"/>
      <c r="AE23" s="178" t="str">
        <f t="shared" si="32"/>
        <v/>
      </c>
      <c r="AF23" s="178" t="str">
        <f t="shared" si="33"/>
        <v/>
      </c>
      <c r="AG23" s="178" t="str">
        <f t="shared" si="34"/>
        <v/>
      </c>
      <c r="AH23" s="178" t="str">
        <f t="shared" si="35"/>
        <v/>
      </c>
      <c r="AI23" s="178" t="str">
        <f t="shared" si="36"/>
        <v/>
      </c>
      <c r="AJ23" s="178" t="str">
        <f t="shared" si="37"/>
        <v/>
      </c>
      <c r="AK23" s="178" t="str">
        <f t="shared" si="38"/>
        <v/>
      </c>
      <c r="AL23" s="178" t="str">
        <f t="shared" si="39"/>
        <v/>
      </c>
      <c r="AM23" s="173"/>
      <c r="AN23" s="190">
        <f t="shared" si="40"/>
        <v>0</v>
      </c>
    </row>
    <row r="24" spans="1:40" s="126" customFormat="1" ht="21" customHeight="1" x14ac:dyDescent="0.2">
      <c r="A24" s="142"/>
      <c r="B24" s="126" t="s">
        <v>108</v>
      </c>
      <c r="F24" s="191"/>
      <c r="H24" s="143"/>
      <c r="I24" s="162">
        <f t="shared" ref="I24:T24" si="95">SUM(I25:I29)</f>
        <v>162148.71</v>
      </c>
      <c r="J24" s="162">
        <f t="shared" si="95"/>
        <v>30808.254899999993</v>
      </c>
      <c r="K24" s="166">
        <f t="shared" si="95"/>
        <v>192956.96489999999</v>
      </c>
      <c r="L24" s="127">
        <f t="shared" si="95"/>
        <v>0</v>
      </c>
      <c r="M24" s="147">
        <f t="shared" si="95"/>
        <v>192956.96489999999</v>
      </c>
      <c r="N24" s="147">
        <f t="shared" si="95"/>
        <v>202604.81314499996</v>
      </c>
      <c r="O24" s="147">
        <f t="shared" si="95"/>
        <v>212735.05380224998</v>
      </c>
      <c r="P24" s="147">
        <f t="shared" si="95"/>
        <v>223371.80649236249</v>
      </c>
      <c r="Q24" s="147">
        <f t="shared" si="95"/>
        <v>234540.39681698062</v>
      </c>
      <c r="R24" s="147">
        <f t="shared" si="95"/>
        <v>246267.41665782963</v>
      </c>
      <c r="S24" s="147">
        <f t="shared" si="95"/>
        <v>258580.78749072115</v>
      </c>
      <c r="T24" s="147">
        <f t="shared" si="95"/>
        <v>271509.82686525717</v>
      </c>
      <c r="V24" s="127">
        <f t="shared" ref="V24:AC24" si="96">SUM(V25:V29)</f>
        <v>0</v>
      </c>
      <c r="W24" s="127">
        <f t="shared" si="96"/>
        <v>128072.38804499999</v>
      </c>
      <c r="X24" s="127">
        <f t="shared" si="96"/>
        <v>78259.046354999999</v>
      </c>
      <c r="Y24" s="127">
        <f t="shared" si="96"/>
        <v>0</v>
      </c>
      <c r="Z24" s="127">
        <f t="shared" si="96"/>
        <v>0</v>
      </c>
      <c r="AA24" s="127">
        <f t="shared" si="96"/>
        <v>0</v>
      </c>
      <c r="AB24" s="127">
        <f t="shared" si="96"/>
        <v>0</v>
      </c>
      <c r="AC24" s="127">
        <f t="shared" si="96"/>
        <v>0</v>
      </c>
      <c r="AD24" s="172">
        <f t="shared" ref="AD24:AD35" si="97">SUM(V24:AC24)</f>
        <v>206331.43439999997</v>
      </c>
      <c r="AE24" s="127">
        <f t="shared" ref="AE24:AL24" si="98">SUM(AE25:AE29)</f>
        <v>0</v>
      </c>
      <c r="AF24" s="127">
        <f t="shared" si="98"/>
        <v>128500</v>
      </c>
      <c r="AG24" s="127">
        <f t="shared" si="98"/>
        <v>79000</v>
      </c>
      <c r="AH24" s="127">
        <f t="shared" si="98"/>
        <v>0</v>
      </c>
      <c r="AI24" s="127">
        <f t="shared" si="98"/>
        <v>0</v>
      </c>
      <c r="AJ24" s="127">
        <f t="shared" si="98"/>
        <v>0</v>
      </c>
      <c r="AK24" s="127">
        <f t="shared" si="98"/>
        <v>0</v>
      </c>
      <c r="AL24" s="127">
        <f t="shared" si="98"/>
        <v>0</v>
      </c>
      <c r="AM24" s="172">
        <f t="shared" ref="AM24:AM27" si="99">SUM(AE24:AL24)</f>
        <v>207500</v>
      </c>
      <c r="AN24" s="190"/>
    </row>
    <row r="25" spans="1:40" s="8" customFormat="1" ht="12.75" outlineLevel="1" x14ac:dyDescent="0.2">
      <c r="B25" s="7"/>
      <c r="C25" s="7" t="s">
        <v>118</v>
      </c>
      <c r="D25" s="7"/>
      <c r="E25" s="7" t="s">
        <v>121</v>
      </c>
      <c r="F25" s="9"/>
      <c r="G25" s="7" t="s">
        <v>105</v>
      </c>
      <c r="H25" s="9">
        <v>2024</v>
      </c>
      <c r="I25" s="167">
        <v>55305.95</v>
      </c>
      <c r="J25" s="164">
        <f>K25-I25</f>
        <v>10508.130499999999</v>
      </c>
      <c r="K25" s="165">
        <f>I25*1.19</f>
        <v>65814.080499999996</v>
      </c>
      <c r="L25" s="11"/>
      <c r="M25" s="11">
        <f>K25</f>
        <v>65814.080499999996</v>
      </c>
      <c r="N25" s="11">
        <f t="shared" ref="N25:T25" si="100">M25+(M25*N5)</f>
        <v>69104.784524999995</v>
      </c>
      <c r="O25" s="11">
        <f t="shared" si="100"/>
        <v>72560.023751250003</v>
      </c>
      <c r="P25" s="11">
        <f t="shared" si="100"/>
        <v>76188.024938812508</v>
      </c>
      <c r="Q25" s="11">
        <f t="shared" si="100"/>
        <v>79997.426185753138</v>
      </c>
      <c r="R25" s="11">
        <f t="shared" si="100"/>
        <v>83997.297495040795</v>
      </c>
      <c r="S25" s="11">
        <f t="shared" si="100"/>
        <v>88197.16236979283</v>
      </c>
      <c r="T25" s="11">
        <f t="shared" si="100"/>
        <v>92607.020488282476</v>
      </c>
      <c r="U25" s="188"/>
      <c r="V25" s="184"/>
      <c r="W25" s="13">
        <f>N25</f>
        <v>69104.784524999995</v>
      </c>
      <c r="X25" s="13"/>
      <c r="Y25" s="13"/>
      <c r="Z25" s="13"/>
      <c r="AA25" s="13"/>
      <c r="AB25" s="13"/>
      <c r="AC25" s="13"/>
      <c r="AD25" s="182">
        <f>SUM(V25:AC25)</f>
        <v>69104.784524999995</v>
      </c>
      <c r="AE25" s="178" t="str">
        <f t="shared" ref="AE25:AE29" si="101">IF(V25="","",IF(V25=0,"",ROUNDUP(V25/500,0)*500))</f>
        <v/>
      </c>
      <c r="AF25" s="178">
        <f t="shared" ref="AF25:AF29" si="102">IF(W25="","",IF(W25=0,"",ROUNDUP(W25/500,0)*500))</f>
        <v>69500</v>
      </c>
      <c r="AG25" s="178" t="str">
        <f t="shared" ref="AG25:AG29" si="103">IF(X25="","",IF(X25=0,"",ROUNDUP(X25/500,0)*500))</f>
        <v/>
      </c>
      <c r="AH25" s="178" t="str">
        <f t="shared" ref="AH25:AH29" si="104">IF(Y25="","",IF(Y25=0,"",ROUNDUP(Y25/500,0)*500))</f>
        <v/>
      </c>
      <c r="AI25" s="178" t="str">
        <f t="shared" ref="AI25:AI29" si="105">IF(Z25="","",IF(Z25=0,"",ROUNDUP(Z25/500,0)*500))</f>
        <v/>
      </c>
      <c r="AJ25" s="178" t="str">
        <f t="shared" ref="AJ25:AJ29" si="106">IF(AA25="","",IF(AA25=0,"",ROUNDUP(AA25/500,0)*500))</f>
        <v/>
      </c>
      <c r="AK25" s="178" t="str">
        <f t="shared" ref="AK25:AK29" si="107">IF(AB25="","",IF(AB25=0,"",ROUNDUP(AB25/500,0)*500))</f>
        <v/>
      </c>
      <c r="AL25" s="178" t="str">
        <f t="shared" ref="AL25:AL29" si="108">IF(AC25="","",IF(AC25=0,"",ROUNDUP(AC25/500,0)*500))</f>
        <v/>
      </c>
      <c r="AM25" s="173">
        <f t="shared" si="99"/>
        <v>69500</v>
      </c>
      <c r="AN25" s="190">
        <f>F25</f>
        <v>0</v>
      </c>
    </row>
    <row r="26" spans="1:40" s="8" customFormat="1" ht="12.75" outlineLevel="1" x14ac:dyDescent="0.2">
      <c r="B26" s="7"/>
      <c r="C26" s="7" t="s">
        <v>119</v>
      </c>
      <c r="D26" s="7"/>
      <c r="E26" s="7" t="s">
        <v>121</v>
      </c>
      <c r="F26" s="9"/>
      <c r="G26" s="7" t="s">
        <v>105</v>
      </c>
      <c r="H26" s="9">
        <v>2024</v>
      </c>
      <c r="I26" s="163">
        <v>38975.839999999997</v>
      </c>
      <c r="J26" s="164">
        <f t="shared" ref="J26:J27" si="109">K26-I26</f>
        <v>7405.409599999999</v>
      </c>
      <c r="K26" s="165">
        <f t="shared" ref="K26:K27" si="110">I26*1.19</f>
        <v>46381.249599999996</v>
      </c>
      <c r="L26" s="11"/>
      <c r="M26" s="11">
        <f t="shared" ref="M26:M29" si="111">K26</f>
        <v>46381.249599999996</v>
      </c>
      <c r="N26" s="11">
        <f>K26*$N$5+K26</f>
        <v>48700.312079999996</v>
      </c>
      <c r="O26" s="11">
        <f>N26*$O$5+N26</f>
        <v>51135.327683999996</v>
      </c>
      <c r="P26" s="11">
        <f>O26*$P$5+O26</f>
        <v>53692.094068199993</v>
      </c>
      <c r="Q26" s="11">
        <f>P26*$Q$5+P26</f>
        <v>56376.69877160999</v>
      </c>
      <c r="R26" s="11">
        <f t="shared" ref="R26:T27" si="112">Q26*$R$5+Q26</f>
        <v>59195.533710190488</v>
      </c>
      <c r="S26" s="11">
        <f t="shared" si="112"/>
        <v>62155.310395700013</v>
      </c>
      <c r="T26" s="11">
        <f t="shared" si="112"/>
        <v>65263.075915485017</v>
      </c>
      <c r="U26" s="188"/>
      <c r="V26" s="184"/>
      <c r="W26" s="13"/>
      <c r="X26" s="13">
        <f t="shared" ref="X26:X28" si="113">O26</f>
        <v>51135.327683999996</v>
      </c>
      <c r="Y26" s="13"/>
      <c r="Z26" s="13"/>
      <c r="AA26" s="13"/>
      <c r="AB26" s="13"/>
      <c r="AC26" s="13"/>
      <c r="AD26" s="173">
        <f t="shared" si="97"/>
        <v>51135.327683999996</v>
      </c>
      <c r="AE26" s="178" t="str">
        <f t="shared" si="101"/>
        <v/>
      </c>
      <c r="AF26" s="178" t="str">
        <f t="shared" si="102"/>
        <v/>
      </c>
      <c r="AG26" s="178">
        <f t="shared" si="103"/>
        <v>51500</v>
      </c>
      <c r="AH26" s="178" t="str">
        <f t="shared" si="104"/>
        <v/>
      </c>
      <c r="AI26" s="178" t="str">
        <f t="shared" si="105"/>
        <v/>
      </c>
      <c r="AJ26" s="178" t="str">
        <f t="shared" si="106"/>
        <v/>
      </c>
      <c r="AK26" s="178" t="str">
        <f t="shared" si="107"/>
        <v/>
      </c>
      <c r="AL26" s="178" t="str">
        <f t="shared" si="108"/>
        <v/>
      </c>
      <c r="AM26" s="173">
        <f t="shared" si="99"/>
        <v>51500</v>
      </c>
      <c r="AN26" s="190">
        <f>F26</f>
        <v>0</v>
      </c>
    </row>
    <row r="27" spans="1:40" s="8" customFormat="1" ht="12.75" outlineLevel="1" x14ac:dyDescent="0.2">
      <c r="B27" s="7"/>
      <c r="C27" s="7" t="s">
        <v>120</v>
      </c>
      <c r="D27" s="7"/>
      <c r="E27" s="7" t="s">
        <v>121</v>
      </c>
      <c r="F27" s="9"/>
      <c r="G27" s="7" t="s">
        <v>105</v>
      </c>
      <c r="H27" s="9">
        <v>2024</v>
      </c>
      <c r="I27" s="163">
        <v>47192.959999999999</v>
      </c>
      <c r="J27" s="164">
        <f t="shared" si="109"/>
        <v>8966.6623999999938</v>
      </c>
      <c r="K27" s="165">
        <f t="shared" si="110"/>
        <v>56159.622399999993</v>
      </c>
      <c r="L27" s="11"/>
      <c r="M27" s="11">
        <f t="shared" si="111"/>
        <v>56159.622399999993</v>
      </c>
      <c r="N27" s="11">
        <f>K27*$N$5+K27</f>
        <v>58967.60351999999</v>
      </c>
      <c r="O27" s="11">
        <f>N27*$O$5+N27</f>
        <v>61915.983695999988</v>
      </c>
      <c r="P27" s="11">
        <f>O27*$P$5+O27</f>
        <v>65011.78288079999</v>
      </c>
      <c r="Q27" s="11">
        <f>P27*$Q$5+P27</f>
        <v>68262.372024839991</v>
      </c>
      <c r="R27" s="11">
        <f t="shared" si="112"/>
        <v>71675.490626081984</v>
      </c>
      <c r="S27" s="11">
        <f t="shared" si="112"/>
        <v>75259.265157386078</v>
      </c>
      <c r="T27" s="11">
        <f t="shared" si="112"/>
        <v>79022.228415255377</v>
      </c>
      <c r="U27" s="188"/>
      <c r="V27" s="184"/>
      <c r="W27" s="13">
        <f t="shared" ref="W27" si="114">N27</f>
        <v>58967.60351999999</v>
      </c>
      <c r="X27" s="13"/>
      <c r="Y27" s="13"/>
      <c r="Z27" s="13"/>
      <c r="AA27" s="13"/>
      <c r="AB27" s="13"/>
      <c r="AC27" s="13"/>
      <c r="AD27" s="173">
        <f t="shared" si="97"/>
        <v>58967.60351999999</v>
      </c>
      <c r="AE27" s="178" t="str">
        <f t="shared" si="101"/>
        <v/>
      </c>
      <c r="AF27" s="178">
        <f t="shared" si="102"/>
        <v>59000</v>
      </c>
      <c r="AG27" s="178" t="str">
        <f t="shared" si="103"/>
        <v/>
      </c>
      <c r="AH27" s="178" t="str">
        <f t="shared" si="104"/>
        <v/>
      </c>
      <c r="AI27" s="178" t="str">
        <f t="shared" si="105"/>
        <v/>
      </c>
      <c r="AJ27" s="178" t="str">
        <f t="shared" si="106"/>
        <v/>
      </c>
      <c r="AK27" s="178" t="str">
        <f t="shared" si="107"/>
        <v/>
      </c>
      <c r="AL27" s="178" t="str">
        <f t="shared" si="108"/>
        <v/>
      </c>
      <c r="AM27" s="173">
        <f t="shared" si="99"/>
        <v>59000</v>
      </c>
      <c r="AN27" s="190">
        <f>F27</f>
        <v>0</v>
      </c>
    </row>
    <row r="28" spans="1:40" s="8" customFormat="1" ht="12.75" outlineLevel="1" x14ac:dyDescent="0.2">
      <c r="B28" s="7"/>
      <c r="C28" s="7" t="s">
        <v>115</v>
      </c>
      <c r="D28" s="7"/>
      <c r="E28" s="7" t="s">
        <v>121</v>
      </c>
      <c r="F28" s="9"/>
      <c r="G28" s="7" t="s">
        <v>105</v>
      </c>
      <c r="H28" s="9">
        <v>2024</v>
      </c>
      <c r="I28" s="163">
        <v>20673.96</v>
      </c>
      <c r="J28" s="164">
        <f t="shared" ref="J28" si="115">K28-I28</f>
        <v>3928.0524000000005</v>
      </c>
      <c r="K28" s="165">
        <f t="shared" ref="K28" si="116">I28*1.19</f>
        <v>24602.0124</v>
      </c>
      <c r="L28" s="11"/>
      <c r="M28" s="11">
        <f t="shared" si="111"/>
        <v>24602.0124</v>
      </c>
      <c r="N28" s="11">
        <f>K28*$N$5+K28</f>
        <v>25832.113020000001</v>
      </c>
      <c r="O28" s="11">
        <f t="shared" ref="O28" si="117">N28*$O$5+N28</f>
        <v>27123.718671000002</v>
      </c>
      <c r="P28" s="11">
        <f t="shared" ref="P28" si="118">O28*$P$5+O28</f>
        <v>28479.904604550004</v>
      </c>
      <c r="Q28" s="11">
        <f t="shared" ref="Q28" si="119">P28*$Q$5+P28</f>
        <v>29903.899834777505</v>
      </c>
      <c r="R28" s="11">
        <f t="shared" ref="R28" si="120">Q28*$R$5+Q28</f>
        <v>31399.094826516379</v>
      </c>
      <c r="S28" s="11">
        <f t="shared" ref="S28" si="121">R28*$R$5+R28</f>
        <v>32969.049567842201</v>
      </c>
      <c r="T28" s="11">
        <f t="shared" ref="T28" si="122">S28*$R$5+S28</f>
        <v>34617.502046234309</v>
      </c>
      <c r="U28" s="188"/>
      <c r="V28" s="184"/>
      <c r="W28" s="13"/>
      <c r="X28" s="13">
        <f t="shared" si="113"/>
        <v>27123.718671000002</v>
      </c>
      <c r="Y28" s="13"/>
      <c r="Z28" s="13"/>
      <c r="AA28" s="13"/>
      <c r="AB28" s="13"/>
      <c r="AC28" s="13"/>
      <c r="AD28" s="173">
        <f t="shared" ref="AD28" si="123">SUM(V28:AC28)</f>
        <v>27123.718671000002</v>
      </c>
      <c r="AE28" s="178" t="str">
        <f t="shared" ref="AE28" si="124">IF(V28="","",IF(V28=0,"",ROUNDUP(V28/500,0)*500))</f>
        <v/>
      </c>
      <c r="AF28" s="178" t="str">
        <f t="shared" ref="AF28" si="125">IF(W28="","",IF(W28=0,"",ROUNDUP(W28/500,0)*500))</f>
        <v/>
      </c>
      <c r="AG28" s="178">
        <f t="shared" ref="AG28" si="126">IF(X28="","",IF(X28=0,"",ROUNDUP(X28/500,0)*500))</f>
        <v>27500</v>
      </c>
      <c r="AH28" s="178" t="str">
        <f t="shared" ref="AH28" si="127">IF(Y28="","",IF(Y28=0,"",ROUNDUP(Y28/500,0)*500))</f>
        <v/>
      </c>
      <c r="AI28" s="178" t="str">
        <f t="shared" ref="AI28" si="128">IF(Z28="","",IF(Z28=0,"",ROUNDUP(Z28/500,0)*500))</f>
        <v/>
      </c>
      <c r="AJ28" s="178" t="str">
        <f t="shared" ref="AJ28" si="129">IF(AA28="","",IF(AA28=0,"",ROUNDUP(AA28/500,0)*500))</f>
        <v/>
      </c>
      <c r="AK28" s="178" t="str">
        <f t="shared" ref="AK28" si="130">IF(AB28="","",IF(AB28=0,"",ROUNDUP(AB28/500,0)*500))</f>
        <v/>
      </c>
      <c r="AL28" s="178" t="str">
        <f t="shared" ref="AL28" si="131">IF(AC28="","",IF(AC28=0,"",ROUNDUP(AC28/500,0)*500))</f>
        <v/>
      </c>
      <c r="AM28" s="173">
        <f t="shared" ref="AM28" si="132">SUM(AE28:AL28)</f>
        <v>27500</v>
      </c>
      <c r="AN28" s="190">
        <f>F28</f>
        <v>0</v>
      </c>
    </row>
    <row r="29" spans="1:40" s="8" customFormat="1" ht="12.75" outlineLevel="1" x14ac:dyDescent="0.2">
      <c r="B29" s="7"/>
      <c r="C29" s="7"/>
      <c r="D29" s="7"/>
      <c r="E29" s="7"/>
      <c r="F29" s="9"/>
      <c r="G29" s="7"/>
      <c r="H29" s="9"/>
      <c r="I29" s="167"/>
      <c r="J29" s="164"/>
      <c r="K29" s="165"/>
      <c r="L29" s="11"/>
      <c r="M29" s="11">
        <f t="shared" si="111"/>
        <v>0</v>
      </c>
      <c r="N29" s="11">
        <f>K29*$N$5+K29</f>
        <v>0</v>
      </c>
      <c r="O29" s="11">
        <f t="shared" ref="O29" si="133">N29*$O$5+N29</f>
        <v>0</v>
      </c>
      <c r="P29" s="11">
        <f t="shared" ref="P29" si="134">O29*$P$5+O29</f>
        <v>0</v>
      </c>
      <c r="Q29" s="11">
        <f t="shared" ref="Q29" si="135">P29*$Q$5+P29</f>
        <v>0</v>
      </c>
      <c r="R29" s="11">
        <f t="shared" ref="R29" si="136">Q29*$R$5+Q29</f>
        <v>0</v>
      </c>
      <c r="S29" s="11">
        <f t="shared" ref="S29" si="137">R29*$R$5+R29</f>
        <v>0</v>
      </c>
      <c r="T29" s="11">
        <f t="shared" ref="T29" si="138">S29*$R$5+S29</f>
        <v>0</v>
      </c>
      <c r="U29" s="188"/>
      <c r="V29" s="184"/>
      <c r="W29" s="13"/>
      <c r="X29" s="13"/>
      <c r="Y29" s="13"/>
      <c r="Z29" s="13"/>
      <c r="AA29" s="13"/>
      <c r="AB29" s="13"/>
      <c r="AC29" s="13"/>
      <c r="AD29" s="173"/>
      <c r="AE29" s="178" t="str">
        <f t="shared" si="101"/>
        <v/>
      </c>
      <c r="AF29" s="178" t="str">
        <f t="shared" si="102"/>
        <v/>
      </c>
      <c r="AG29" s="178" t="str">
        <f t="shared" si="103"/>
        <v/>
      </c>
      <c r="AH29" s="178" t="str">
        <f t="shared" si="104"/>
        <v/>
      </c>
      <c r="AI29" s="178" t="str">
        <f t="shared" si="105"/>
        <v/>
      </c>
      <c r="AJ29" s="178" t="str">
        <f t="shared" si="106"/>
        <v/>
      </c>
      <c r="AK29" s="178" t="str">
        <f t="shared" si="107"/>
        <v/>
      </c>
      <c r="AL29" s="178" t="str">
        <f t="shared" si="108"/>
        <v/>
      </c>
      <c r="AM29" s="173"/>
      <c r="AN29" s="190"/>
    </row>
    <row r="30" spans="1:40" s="126" customFormat="1" ht="21" customHeight="1" x14ac:dyDescent="0.2">
      <c r="A30" s="142"/>
      <c r="B30" s="126" t="s">
        <v>109</v>
      </c>
      <c r="F30" s="191"/>
      <c r="H30" s="143"/>
      <c r="I30" s="162">
        <f t="shared" ref="I30:T30" si="139">SUM(I31:I32)</f>
        <v>23603</v>
      </c>
      <c r="J30" s="162">
        <f t="shared" si="139"/>
        <v>4484.569999999997</v>
      </c>
      <c r="K30" s="166">
        <f t="shared" si="139"/>
        <v>28087.569999999996</v>
      </c>
      <c r="L30" s="127">
        <f t="shared" ref="L30" si="140">SUM(L31:L32)</f>
        <v>0</v>
      </c>
      <c r="M30" s="147">
        <f t="shared" si="139"/>
        <v>28087.569999999996</v>
      </c>
      <c r="N30" s="147">
        <f t="shared" si="139"/>
        <v>29491.948499999995</v>
      </c>
      <c r="O30" s="147">
        <f t="shared" si="139"/>
        <v>30966.545924999995</v>
      </c>
      <c r="P30" s="147">
        <f t="shared" si="139"/>
        <v>32514.873221249996</v>
      </c>
      <c r="Q30" s="147">
        <f t="shared" si="139"/>
        <v>34140.616882312497</v>
      </c>
      <c r="R30" s="147">
        <f t="shared" si="139"/>
        <v>35847.647726428127</v>
      </c>
      <c r="S30" s="147">
        <f t="shared" si="139"/>
        <v>37640.030112749533</v>
      </c>
      <c r="T30" s="147">
        <f t="shared" si="139"/>
        <v>39522.031618387009</v>
      </c>
      <c r="V30" s="127">
        <f t="shared" ref="V30:AC30" si="141">SUM(V31:V32)</f>
        <v>0</v>
      </c>
      <c r="W30" s="127">
        <f t="shared" si="141"/>
        <v>0</v>
      </c>
      <c r="X30" s="127">
        <f t="shared" si="141"/>
        <v>0</v>
      </c>
      <c r="Y30" s="127">
        <f t="shared" si="141"/>
        <v>32514.873221249996</v>
      </c>
      <c r="Z30" s="127">
        <f t="shared" si="141"/>
        <v>0</v>
      </c>
      <c r="AA30" s="127">
        <f t="shared" si="141"/>
        <v>0</v>
      </c>
      <c r="AB30" s="127">
        <f t="shared" si="141"/>
        <v>0</v>
      </c>
      <c r="AC30" s="127">
        <f t="shared" si="141"/>
        <v>0</v>
      </c>
      <c r="AD30" s="172">
        <f t="shared" si="97"/>
        <v>32514.873221249996</v>
      </c>
      <c r="AE30" s="127">
        <f t="shared" ref="AE30:AL30" si="142">SUM(AE31:AE32)</f>
        <v>0</v>
      </c>
      <c r="AF30" s="127">
        <f t="shared" si="142"/>
        <v>0</v>
      </c>
      <c r="AG30" s="127">
        <f t="shared" si="142"/>
        <v>0</v>
      </c>
      <c r="AH30" s="127">
        <f t="shared" si="142"/>
        <v>33000</v>
      </c>
      <c r="AI30" s="127">
        <f t="shared" si="142"/>
        <v>0</v>
      </c>
      <c r="AJ30" s="127">
        <f t="shared" si="142"/>
        <v>0</v>
      </c>
      <c r="AK30" s="127">
        <f t="shared" si="142"/>
        <v>0</v>
      </c>
      <c r="AL30" s="127">
        <f t="shared" si="142"/>
        <v>0</v>
      </c>
      <c r="AM30" s="172">
        <f t="shared" ref="AM30:AM35" si="143">SUM(AE30:AL30)</f>
        <v>33000</v>
      </c>
      <c r="AN30" s="190">
        <f>F30</f>
        <v>0</v>
      </c>
    </row>
    <row r="31" spans="1:40" s="8" customFormat="1" ht="12.75" outlineLevel="1" x14ac:dyDescent="0.2">
      <c r="B31" s="7"/>
      <c r="C31" s="7" t="s">
        <v>115</v>
      </c>
      <c r="D31" s="7"/>
      <c r="E31" s="7" t="s">
        <v>116</v>
      </c>
      <c r="F31" s="9"/>
      <c r="G31" s="7" t="s">
        <v>105</v>
      </c>
      <c r="H31" s="9">
        <v>2024</v>
      </c>
      <c r="I31" s="163">
        <v>23330</v>
      </c>
      <c r="J31" s="164">
        <f>K31-I31</f>
        <v>4432.6999999999971</v>
      </c>
      <c r="K31" s="165">
        <f t="shared" ref="K31" si="144">I31*1.19</f>
        <v>27762.699999999997</v>
      </c>
      <c r="L31" s="11"/>
      <c r="M31" s="11">
        <f>K31</f>
        <v>27762.699999999997</v>
      </c>
      <c r="N31" s="11">
        <f>M31*$N$5+M31</f>
        <v>29150.834999999995</v>
      </c>
      <c r="O31" s="11">
        <f>N31*$O$5+N31</f>
        <v>30608.376749999996</v>
      </c>
      <c r="P31" s="11">
        <f>O31*$P$5+O31</f>
        <v>32138.795587499997</v>
      </c>
      <c r="Q31" s="11">
        <f>P31*$Q$5+P31</f>
        <v>33745.735366875</v>
      </c>
      <c r="R31" s="11">
        <f>Q31*$R$5+Q31</f>
        <v>35433.022135218751</v>
      </c>
      <c r="S31" s="11">
        <f>R31*$S$5+R31</f>
        <v>37204.67324197969</v>
      </c>
      <c r="T31" s="11">
        <f>S31*$T$5+S31</f>
        <v>39064.906904078671</v>
      </c>
      <c r="U31" s="188"/>
      <c r="V31" s="184"/>
      <c r="W31" s="13"/>
      <c r="X31" s="13"/>
      <c r="Y31" s="13">
        <f>P31</f>
        <v>32138.795587499997</v>
      </c>
      <c r="Z31" s="13"/>
      <c r="AA31" s="13"/>
      <c r="AB31" s="13"/>
      <c r="AC31" s="13"/>
      <c r="AD31" s="173">
        <f t="shared" si="97"/>
        <v>32138.795587499997</v>
      </c>
      <c r="AE31" s="178" t="str">
        <f t="shared" ref="AE31:AE32" si="145">IF(V31="","",IF(V31=0,"",ROUNDUP(V31/500,0)*500))</f>
        <v/>
      </c>
      <c r="AF31" s="178" t="str">
        <f t="shared" ref="AF31:AF32" si="146">IF(W31="","",IF(W31=0,"",ROUNDUP(W31/500,0)*500))</f>
        <v/>
      </c>
      <c r="AG31" s="178" t="str">
        <f t="shared" ref="AG31:AG32" si="147">IF(X31="","",IF(X31=0,"",ROUNDUP(X31/500,0)*500))</f>
        <v/>
      </c>
      <c r="AH31" s="178">
        <f t="shared" ref="AH31:AH32" si="148">IF(Y31="","",IF(Y31=0,"",ROUNDUP(Y31/500,0)*500))</f>
        <v>32500</v>
      </c>
      <c r="AI31" s="178" t="str">
        <f t="shared" ref="AI31:AI32" si="149">IF(Z31="","",IF(Z31=0,"",ROUNDUP(Z31/500,0)*500))</f>
        <v/>
      </c>
      <c r="AJ31" s="178" t="str">
        <f t="shared" ref="AJ31:AJ32" si="150">IF(AA31="","",IF(AA31=0,"",ROUNDUP(AA31/500,0)*500))</f>
        <v/>
      </c>
      <c r="AK31" s="178" t="str">
        <f t="shared" ref="AK31:AK32" si="151">IF(AB31="","",IF(AB31=0,"",ROUNDUP(AB31/500,0)*500))</f>
        <v/>
      </c>
      <c r="AL31" s="178" t="str">
        <f t="shared" ref="AL31:AL32" si="152">IF(AC31="","",IF(AC31=0,"",ROUNDUP(AC31/500,0)*500))</f>
        <v/>
      </c>
      <c r="AM31" s="173">
        <f t="shared" si="143"/>
        <v>32500</v>
      </c>
      <c r="AN31" s="190">
        <f>F31</f>
        <v>0</v>
      </c>
    </row>
    <row r="32" spans="1:40" s="8" customFormat="1" ht="12.75" outlineLevel="1" x14ac:dyDescent="0.2">
      <c r="B32" s="7"/>
      <c r="C32" s="7" t="s">
        <v>115</v>
      </c>
      <c r="D32" s="7"/>
      <c r="E32" s="7" t="s">
        <v>117</v>
      </c>
      <c r="F32" s="9"/>
      <c r="G32" s="7" t="s">
        <v>105</v>
      </c>
      <c r="H32" s="9">
        <v>2024</v>
      </c>
      <c r="I32" s="167">
        <v>273</v>
      </c>
      <c r="J32" s="164">
        <f>K32-I32</f>
        <v>51.870000000000005</v>
      </c>
      <c r="K32" s="165">
        <f>I32*1.19</f>
        <v>324.87</v>
      </c>
      <c r="L32" s="11"/>
      <c r="M32" s="11">
        <f>K32</f>
        <v>324.87</v>
      </c>
      <c r="N32" s="11">
        <f>M32*$N$5+M32</f>
        <v>341.11349999999999</v>
      </c>
      <c r="O32" s="11">
        <f>N32*$O$5+N32</f>
        <v>358.169175</v>
      </c>
      <c r="P32" s="11">
        <f>O32*$P$5+O32</f>
        <v>376.07763375000002</v>
      </c>
      <c r="Q32" s="11">
        <f>P32*$Q$5+P32</f>
        <v>394.88151543750001</v>
      </c>
      <c r="R32" s="11">
        <f>Q32*$R$5+Q32</f>
        <v>414.62559120937499</v>
      </c>
      <c r="S32" s="11">
        <f>R32*$S$5+R32</f>
        <v>435.35687076984374</v>
      </c>
      <c r="T32" s="11">
        <f>S32*$T$5+S32</f>
        <v>457.12471430833591</v>
      </c>
      <c r="U32" s="188"/>
      <c r="V32" s="184"/>
      <c r="W32" s="13"/>
      <c r="X32" s="13"/>
      <c r="Y32" s="13">
        <f>P32</f>
        <v>376.07763375000002</v>
      </c>
      <c r="Z32" s="13"/>
      <c r="AA32" s="13"/>
      <c r="AB32" s="13"/>
      <c r="AC32" s="13"/>
      <c r="AD32" s="173">
        <f t="shared" si="97"/>
        <v>376.07763375000002</v>
      </c>
      <c r="AE32" s="178" t="str">
        <f t="shared" si="145"/>
        <v/>
      </c>
      <c r="AF32" s="178" t="str">
        <f t="shared" si="146"/>
        <v/>
      </c>
      <c r="AG32" s="178" t="str">
        <f t="shared" si="147"/>
        <v/>
      </c>
      <c r="AH32" s="178">
        <f t="shared" si="148"/>
        <v>500</v>
      </c>
      <c r="AI32" s="178" t="str">
        <f t="shared" si="149"/>
        <v/>
      </c>
      <c r="AJ32" s="178" t="str">
        <f t="shared" si="150"/>
        <v/>
      </c>
      <c r="AK32" s="178" t="str">
        <f t="shared" si="151"/>
        <v/>
      </c>
      <c r="AL32" s="178" t="str">
        <f t="shared" si="152"/>
        <v/>
      </c>
      <c r="AM32" s="173">
        <f t="shared" si="143"/>
        <v>500</v>
      </c>
      <c r="AN32" s="190">
        <f>F32</f>
        <v>0</v>
      </c>
    </row>
    <row r="33" spans="1:40" s="126" customFormat="1" ht="21" customHeight="1" x14ac:dyDescent="0.2">
      <c r="A33" s="142"/>
      <c r="B33" s="126" t="s">
        <v>122</v>
      </c>
      <c r="F33" s="191"/>
      <c r="H33" s="143"/>
      <c r="I33" s="162">
        <f t="shared" ref="I33:T33" si="153">SUM(I34:I38)</f>
        <v>0</v>
      </c>
      <c r="J33" s="162">
        <f t="shared" si="153"/>
        <v>0</v>
      </c>
      <c r="K33" s="166">
        <f t="shared" si="153"/>
        <v>0</v>
      </c>
      <c r="L33" s="127">
        <f t="shared" ref="L33" si="154">SUM(L34:L38)</f>
        <v>0</v>
      </c>
      <c r="M33" s="147">
        <f t="shared" si="153"/>
        <v>0</v>
      </c>
      <c r="N33" s="147">
        <f t="shared" si="153"/>
        <v>0</v>
      </c>
      <c r="O33" s="147">
        <f t="shared" si="153"/>
        <v>0</v>
      </c>
      <c r="P33" s="147">
        <f t="shared" si="153"/>
        <v>0</v>
      </c>
      <c r="Q33" s="147">
        <f t="shared" si="153"/>
        <v>0</v>
      </c>
      <c r="R33" s="147">
        <f t="shared" si="153"/>
        <v>0</v>
      </c>
      <c r="S33" s="147">
        <f t="shared" si="153"/>
        <v>0</v>
      </c>
      <c r="T33" s="147">
        <f t="shared" si="153"/>
        <v>0</v>
      </c>
      <c r="V33" s="127">
        <f t="shared" ref="V33:AC33" si="155">SUM(V34:V38)</f>
        <v>0</v>
      </c>
      <c r="W33" s="127">
        <f t="shared" si="155"/>
        <v>0</v>
      </c>
      <c r="X33" s="127">
        <f t="shared" si="155"/>
        <v>0</v>
      </c>
      <c r="Y33" s="127">
        <f t="shared" si="155"/>
        <v>0</v>
      </c>
      <c r="Z33" s="127">
        <f t="shared" si="155"/>
        <v>0</v>
      </c>
      <c r="AA33" s="127">
        <f t="shared" si="155"/>
        <v>0</v>
      </c>
      <c r="AB33" s="127">
        <f t="shared" si="155"/>
        <v>0</v>
      </c>
      <c r="AC33" s="127">
        <f t="shared" si="155"/>
        <v>0</v>
      </c>
      <c r="AD33" s="172">
        <f t="shared" si="97"/>
        <v>0</v>
      </c>
      <c r="AE33" s="127">
        <f t="shared" ref="AE33:AL33" si="156">SUM(AE34:AE38)</f>
        <v>0</v>
      </c>
      <c r="AF33" s="127">
        <f t="shared" si="156"/>
        <v>0</v>
      </c>
      <c r="AG33" s="127">
        <f t="shared" si="156"/>
        <v>0</v>
      </c>
      <c r="AH33" s="127">
        <f t="shared" si="156"/>
        <v>0</v>
      </c>
      <c r="AI33" s="127">
        <f t="shared" si="156"/>
        <v>0</v>
      </c>
      <c r="AJ33" s="127">
        <f t="shared" si="156"/>
        <v>0</v>
      </c>
      <c r="AK33" s="127">
        <f t="shared" si="156"/>
        <v>0</v>
      </c>
      <c r="AL33" s="127">
        <f t="shared" si="156"/>
        <v>0</v>
      </c>
      <c r="AM33" s="172">
        <f t="shared" si="143"/>
        <v>0</v>
      </c>
      <c r="AN33" s="190"/>
    </row>
    <row r="34" spans="1:40" s="8" customFormat="1" ht="12.75" outlineLevel="1" x14ac:dyDescent="0.2">
      <c r="B34" s="7"/>
      <c r="C34" s="7" t="s">
        <v>106</v>
      </c>
      <c r="D34" s="7"/>
      <c r="E34" s="7" t="s">
        <v>123</v>
      </c>
      <c r="F34" s="9"/>
      <c r="G34" s="7" t="s">
        <v>103</v>
      </c>
      <c r="H34" s="9">
        <v>2024</v>
      </c>
      <c r="I34" s="163">
        <v>0</v>
      </c>
      <c r="J34" s="164">
        <f t="shared" ref="J34:J35" si="157">K34-I34</f>
        <v>0</v>
      </c>
      <c r="K34" s="165">
        <f t="shared" ref="K34:K35" si="158">I34*1.19</f>
        <v>0</v>
      </c>
      <c r="L34" s="11"/>
      <c r="M34" s="11">
        <f>K34</f>
        <v>0</v>
      </c>
      <c r="N34" s="11">
        <f>K34*$N$5+K34</f>
        <v>0</v>
      </c>
      <c r="O34" s="11">
        <f t="shared" ref="O34:O35" si="159">N34*$O$5+N34</f>
        <v>0</v>
      </c>
      <c r="P34" s="11">
        <f t="shared" ref="P34:P35" si="160">O34*$P$5+O34</f>
        <v>0</v>
      </c>
      <c r="Q34" s="11">
        <f t="shared" ref="Q34:Q35" si="161">P34*$Q$5+P34</f>
        <v>0</v>
      </c>
      <c r="R34" s="11">
        <f t="shared" ref="R34:R35" si="162">Q34*$R$5+Q34</f>
        <v>0</v>
      </c>
      <c r="S34" s="11">
        <f t="shared" ref="S34:S38" si="163">R34*$R$5+R34</f>
        <v>0</v>
      </c>
      <c r="T34" s="11">
        <f t="shared" ref="T34:T38" si="164">S34*$R$5+S34</f>
        <v>0</v>
      </c>
      <c r="U34" s="188"/>
      <c r="V34" s="184"/>
      <c r="W34" s="13"/>
      <c r="X34" s="13"/>
      <c r="Y34" s="13"/>
      <c r="Z34" s="13"/>
      <c r="AA34" s="13"/>
      <c r="AB34" s="13"/>
      <c r="AC34" s="13"/>
      <c r="AD34" s="173">
        <f t="shared" si="97"/>
        <v>0</v>
      </c>
      <c r="AE34" s="178" t="str">
        <f t="shared" ref="AE34:AE38" si="165">IF(V34="","",IF(V34=0,"",ROUNDUP(V34/500,0)*500))</f>
        <v/>
      </c>
      <c r="AF34" s="178" t="str">
        <f t="shared" ref="AF34:AF38" si="166">IF(W34="","",IF(W34=0,"",ROUNDUP(W34/500,0)*500))</f>
        <v/>
      </c>
      <c r="AG34" s="178" t="str">
        <f t="shared" ref="AG34:AG38" si="167">IF(X34="","",IF(X34=0,"",ROUNDUP(X34/500,0)*500))</f>
        <v/>
      </c>
      <c r="AH34" s="178" t="str">
        <f t="shared" ref="AH34:AH38" si="168">IF(Y34="","",IF(Y34=0,"",ROUNDUP(Y34/500,0)*500))</f>
        <v/>
      </c>
      <c r="AI34" s="178" t="str">
        <f t="shared" ref="AI34:AI38" si="169">IF(Z34="","",IF(Z34=0,"",ROUNDUP(Z34/500,0)*500))</f>
        <v/>
      </c>
      <c r="AJ34" s="178" t="str">
        <f t="shared" ref="AJ34:AJ38" si="170">IF(AA34="","",IF(AA34=0,"",ROUNDUP(AA34/500,0)*500))</f>
        <v/>
      </c>
      <c r="AK34" s="178" t="str">
        <f t="shared" ref="AK34:AK38" si="171">IF(AB34="","",IF(AB34=0,"",ROUNDUP(AB34/500,0)*500))</f>
        <v/>
      </c>
      <c r="AL34" s="178" t="str">
        <f t="shared" ref="AL34:AL38" si="172">IF(AC34="","",IF(AC34=0,"",ROUNDUP(AC34/500,0)*500))</f>
        <v/>
      </c>
      <c r="AM34" s="173">
        <f t="shared" si="143"/>
        <v>0</v>
      </c>
      <c r="AN34" s="190">
        <f>F34</f>
        <v>0</v>
      </c>
    </row>
    <row r="35" spans="1:40" s="8" customFormat="1" ht="12.75" outlineLevel="1" x14ac:dyDescent="0.2">
      <c r="B35" s="7"/>
      <c r="C35" s="7"/>
      <c r="D35" s="7"/>
      <c r="E35" s="7" t="s">
        <v>124</v>
      </c>
      <c r="F35" s="9"/>
      <c r="G35" s="7"/>
      <c r="H35" s="9"/>
      <c r="I35" s="163"/>
      <c r="J35" s="164">
        <f t="shared" si="157"/>
        <v>0</v>
      </c>
      <c r="K35" s="165">
        <f t="shared" si="158"/>
        <v>0</v>
      </c>
      <c r="L35" s="11"/>
      <c r="M35" s="11">
        <f>K35</f>
        <v>0</v>
      </c>
      <c r="N35" s="11">
        <f>K35*$N$5+K35</f>
        <v>0</v>
      </c>
      <c r="O35" s="11">
        <f t="shared" si="159"/>
        <v>0</v>
      </c>
      <c r="P35" s="11">
        <f t="shared" si="160"/>
        <v>0</v>
      </c>
      <c r="Q35" s="11">
        <f t="shared" si="161"/>
        <v>0</v>
      </c>
      <c r="R35" s="11">
        <f t="shared" si="162"/>
        <v>0</v>
      </c>
      <c r="S35" s="11">
        <f t="shared" si="163"/>
        <v>0</v>
      </c>
      <c r="T35" s="11">
        <f t="shared" si="164"/>
        <v>0</v>
      </c>
      <c r="U35" s="188"/>
      <c r="V35" s="184"/>
      <c r="W35" s="13" t="str">
        <f>IF(N35&gt;0,N35,"")</f>
        <v/>
      </c>
      <c r="X35" s="13"/>
      <c r="Y35" s="13"/>
      <c r="Z35" s="13"/>
      <c r="AA35" s="13"/>
      <c r="AB35" s="13"/>
      <c r="AC35" s="13"/>
      <c r="AD35" s="173">
        <f t="shared" si="97"/>
        <v>0</v>
      </c>
      <c r="AE35" s="178" t="str">
        <f t="shared" si="165"/>
        <v/>
      </c>
      <c r="AF35" s="178" t="str">
        <f t="shared" si="166"/>
        <v/>
      </c>
      <c r="AG35" s="178" t="str">
        <f t="shared" si="167"/>
        <v/>
      </c>
      <c r="AH35" s="178" t="str">
        <f t="shared" si="168"/>
        <v/>
      </c>
      <c r="AI35" s="178" t="str">
        <f t="shared" si="169"/>
        <v/>
      </c>
      <c r="AJ35" s="178" t="str">
        <f t="shared" si="170"/>
        <v/>
      </c>
      <c r="AK35" s="178" t="str">
        <f t="shared" si="171"/>
        <v/>
      </c>
      <c r="AL35" s="178" t="str">
        <f t="shared" si="172"/>
        <v/>
      </c>
      <c r="AM35" s="173">
        <f t="shared" si="143"/>
        <v>0</v>
      </c>
      <c r="AN35" s="190">
        <f>F35</f>
        <v>0</v>
      </c>
    </row>
    <row r="36" spans="1:40" s="8" customFormat="1" ht="12.75" outlineLevel="1" x14ac:dyDescent="0.2">
      <c r="B36" s="7"/>
      <c r="C36" s="7"/>
      <c r="D36" s="7"/>
      <c r="E36" s="7" t="s">
        <v>141</v>
      </c>
      <c r="F36" s="9"/>
      <c r="G36" s="7"/>
      <c r="H36" s="9"/>
      <c r="I36" s="167"/>
      <c r="J36" s="164">
        <f t="shared" ref="J36:J38" si="173">K36-I36</f>
        <v>0</v>
      </c>
      <c r="K36" s="165">
        <f t="shared" ref="K36:K38" si="174">I36*1.19</f>
        <v>0</v>
      </c>
      <c r="L36" s="11"/>
      <c r="M36" s="11">
        <f>K36</f>
        <v>0</v>
      </c>
      <c r="N36" s="11">
        <f>M36*$N$5+M36</f>
        <v>0</v>
      </c>
      <c r="O36" s="11">
        <f>N36*$O$5+N36</f>
        <v>0</v>
      </c>
      <c r="P36" s="11">
        <f>O36*$P$5+O36</f>
        <v>0</v>
      </c>
      <c r="Q36" s="11">
        <f>P36*$Q$5+P36</f>
        <v>0</v>
      </c>
      <c r="R36" s="11">
        <f>Q36*$R$5+Q36</f>
        <v>0</v>
      </c>
      <c r="S36" s="11">
        <f t="shared" si="163"/>
        <v>0</v>
      </c>
      <c r="T36" s="11">
        <f t="shared" si="164"/>
        <v>0</v>
      </c>
      <c r="U36" s="188"/>
      <c r="V36" s="184"/>
      <c r="W36" s="13"/>
      <c r="X36" s="13"/>
      <c r="Y36" s="13"/>
      <c r="Z36" s="13"/>
      <c r="AA36" s="13"/>
      <c r="AB36" s="13"/>
      <c r="AC36" s="13"/>
      <c r="AD36" s="173">
        <f t="shared" ref="AD36:AD38" si="175">SUM(V36:AC36)</f>
        <v>0</v>
      </c>
      <c r="AE36" s="178" t="str">
        <f t="shared" si="165"/>
        <v/>
      </c>
      <c r="AF36" s="178" t="str">
        <f t="shared" si="166"/>
        <v/>
      </c>
      <c r="AG36" s="178" t="str">
        <f t="shared" si="167"/>
        <v/>
      </c>
      <c r="AH36" s="178" t="str">
        <f t="shared" si="168"/>
        <v/>
      </c>
      <c r="AI36" s="178" t="str">
        <f t="shared" si="169"/>
        <v/>
      </c>
      <c r="AJ36" s="178" t="str">
        <f t="shared" si="170"/>
        <v/>
      </c>
      <c r="AK36" s="178" t="str">
        <f t="shared" si="171"/>
        <v/>
      </c>
      <c r="AL36" s="178" t="str">
        <f t="shared" si="172"/>
        <v/>
      </c>
      <c r="AM36" s="173">
        <f t="shared" ref="AM36:AM38" si="176">SUM(AE36:AL36)</f>
        <v>0</v>
      </c>
      <c r="AN36" s="190">
        <f>F36</f>
        <v>0</v>
      </c>
    </row>
    <row r="37" spans="1:40" s="8" customFormat="1" ht="12.75" outlineLevel="1" x14ac:dyDescent="0.2">
      <c r="B37" s="7"/>
      <c r="C37" s="7"/>
      <c r="D37" s="7"/>
      <c r="E37" s="7" t="s">
        <v>142</v>
      </c>
      <c r="F37" s="9"/>
      <c r="G37" s="7"/>
      <c r="H37" s="9"/>
      <c r="I37" s="163"/>
      <c r="J37" s="164">
        <f t="shared" si="173"/>
        <v>0</v>
      </c>
      <c r="K37" s="165">
        <f t="shared" si="174"/>
        <v>0</v>
      </c>
      <c r="L37" s="11"/>
      <c r="M37" s="11">
        <f>K37</f>
        <v>0</v>
      </c>
      <c r="N37" s="11">
        <f>M37*$N$5+M37</f>
        <v>0</v>
      </c>
      <c r="O37" s="11">
        <f>N37*$O$5+N37</f>
        <v>0</v>
      </c>
      <c r="P37" s="11">
        <f>O37*$P$5+O37</f>
        <v>0</v>
      </c>
      <c r="Q37" s="11">
        <f>P37*$Q$5+P37</f>
        <v>0</v>
      </c>
      <c r="R37" s="11">
        <f>Q37*$R$5+Q37</f>
        <v>0</v>
      </c>
      <c r="S37" s="11">
        <f t="shared" si="163"/>
        <v>0</v>
      </c>
      <c r="T37" s="11">
        <f t="shared" si="164"/>
        <v>0</v>
      </c>
      <c r="U37" s="188"/>
      <c r="V37" s="184"/>
      <c r="W37" s="13"/>
      <c r="X37" s="13"/>
      <c r="Y37" s="13"/>
      <c r="Z37" s="13"/>
      <c r="AA37" s="13"/>
      <c r="AB37" s="13"/>
      <c r="AC37" s="13"/>
      <c r="AD37" s="173">
        <f t="shared" si="175"/>
        <v>0</v>
      </c>
      <c r="AE37" s="178" t="str">
        <f t="shared" si="165"/>
        <v/>
      </c>
      <c r="AF37" s="178" t="str">
        <f t="shared" si="166"/>
        <v/>
      </c>
      <c r="AG37" s="178" t="str">
        <f t="shared" si="167"/>
        <v/>
      </c>
      <c r="AH37" s="178" t="str">
        <f t="shared" si="168"/>
        <v/>
      </c>
      <c r="AI37" s="178" t="str">
        <f t="shared" si="169"/>
        <v/>
      </c>
      <c r="AJ37" s="178" t="str">
        <f t="shared" si="170"/>
        <v/>
      </c>
      <c r="AK37" s="178" t="str">
        <f t="shared" si="171"/>
        <v/>
      </c>
      <c r="AL37" s="178" t="str">
        <f t="shared" si="172"/>
        <v/>
      </c>
      <c r="AM37" s="173">
        <f t="shared" si="176"/>
        <v>0</v>
      </c>
      <c r="AN37" s="190">
        <f>F37</f>
        <v>0</v>
      </c>
    </row>
    <row r="38" spans="1:40" s="8" customFormat="1" ht="12.75" outlineLevel="1" x14ac:dyDescent="0.2">
      <c r="B38" s="7"/>
      <c r="C38" s="7"/>
      <c r="D38" s="7"/>
      <c r="E38" s="7"/>
      <c r="F38" s="9"/>
      <c r="G38" s="7"/>
      <c r="H38" s="9"/>
      <c r="I38" s="163"/>
      <c r="J38" s="164">
        <f t="shared" si="173"/>
        <v>0</v>
      </c>
      <c r="K38" s="165">
        <f t="shared" si="174"/>
        <v>0</v>
      </c>
      <c r="L38" s="11"/>
      <c r="M38" s="11">
        <f>K38</f>
        <v>0</v>
      </c>
      <c r="N38" s="11">
        <f>M38*$N$5+M38</f>
        <v>0</v>
      </c>
      <c r="O38" s="11">
        <f>N38*$O$5+N38</f>
        <v>0</v>
      </c>
      <c r="P38" s="11">
        <f>O38*$P$5+O38</f>
        <v>0</v>
      </c>
      <c r="Q38" s="11">
        <f>P38*$Q$5+P38</f>
        <v>0</v>
      </c>
      <c r="R38" s="11">
        <f>Q38*$R$5+Q38</f>
        <v>0</v>
      </c>
      <c r="S38" s="11">
        <f t="shared" si="163"/>
        <v>0</v>
      </c>
      <c r="T38" s="11">
        <f t="shared" si="164"/>
        <v>0</v>
      </c>
      <c r="U38" s="188"/>
      <c r="V38" s="184"/>
      <c r="W38" s="13"/>
      <c r="X38" s="13"/>
      <c r="Y38" s="13"/>
      <c r="Z38" s="13"/>
      <c r="AA38" s="13"/>
      <c r="AB38" s="13"/>
      <c r="AC38" s="13"/>
      <c r="AD38" s="173">
        <f t="shared" si="175"/>
        <v>0</v>
      </c>
      <c r="AE38" s="178" t="str">
        <f t="shared" si="165"/>
        <v/>
      </c>
      <c r="AF38" s="178" t="str">
        <f t="shared" si="166"/>
        <v/>
      </c>
      <c r="AG38" s="178" t="str">
        <f t="shared" si="167"/>
        <v/>
      </c>
      <c r="AH38" s="178" t="str">
        <f t="shared" si="168"/>
        <v/>
      </c>
      <c r="AI38" s="178" t="str">
        <f t="shared" si="169"/>
        <v/>
      </c>
      <c r="AJ38" s="178" t="str">
        <f t="shared" si="170"/>
        <v/>
      </c>
      <c r="AK38" s="178" t="str">
        <f t="shared" si="171"/>
        <v/>
      </c>
      <c r="AL38" s="178" t="str">
        <f t="shared" si="172"/>
        <v/>
      </c>
      <c r="AM38" s="173">
        <f t="shared" si="176"/>
        <v>0</v>
      </c>
      <c r="AN38" s="190">
        <f>F38</f>
        <v>0</v>
      </c>
    </row>
    <row r="39" spans="1:40" s="126" customFormat="1" ht="21" customHeight="1" x14ac:dyDescent="0.2">
      <c r="A39" s="142"/>
      <c r="B39" s="126" t="s">
        <v>7</v>
      </c>
      <c r="F39" s="191"/>
      <c r="H39" s="143"/>
      <c r="I39" s="162">
        <f t="shared" ref="I39:T39" si="177">SUM(I40:I44)</f>
        <v>11000</v>
      </c>
      <c r="J39" s="162">
        <f t="shared" si="177"/>
        <v>2090</v>
      </c>
      <c r="K39" s="166">
        <f t="shared" si="177"/>
        <v>13090</v>
      </c>
      <c r="L39" s="127">
        <f t="shared" si="177"/>
        <v>0</v>
      </c>
      <c r="M39" s="147">
        <f t="shared" si="177"/>
        <v>13090</v>
      </c>
      <c r="N39" s="147">
        <f t="shared" si="177"/>
        <v>13744.5</v>
      </c>
      <c r="O39" s="147">
        <f t="shared" si="177"/>
        <v>14431.725000000002</v>
      </c>
      <c r="P39" s="147">
        <f t="shared" si="177"/>
        <v>15153.311250000002</v>
      </c>
      <c r="Q39" s="147">
        <f t="shared" si="177"/>
        <v>15910.976812500001</v>
      </c>
      <c r="R39" s="147">
        <f t="shared" si="177"/>
        <v>16706.525653125002</v>
      </c>
      <c r="S39" s="147">
        <f t="shared" si="177"/>
        <v>17541.851935781251</v>
      </c>
      <c r="T39" s="147">
        <f t="shared" si="177"/>
        <v>18418.944532570313</v>
      </c>
      <c r="V39" s="127">
        <f t="shared" ref="V39:AC39" si="178">SUM(V40:V44)</f>
        <v>0</v>
      </c>
      <c r="W39" s="127">
        <f t="shared" si="178"/>
        <v>13090</v>
      </c>
      <c r="X39" s="127">
        <f t="shared" si="178"/>
        <v>0</v>
      </c>
      <c r="Y39" s="127">
        <f t="shared" si="178"/>
        <v>0</v>
      </c>
      <c r="Z39" s="127">
        <f t="shared" si="178"/>
        <v>0</v>
      </c>
      <c r="AA39" s="127">
        <f t="shared" si="178"/>
        <v>0</v>
      </c>
      <c r="AB39" s="127">
        <f t="shared" si="178"/>
        <v>0</v>
      </c>
      <c r="AC39" s="127">
        <f t="shared" si="178"/>
        <v>0</v>
      </c>
      <c r="AD39" s="172">
        <f>SUM(V39:AC39)</f>
        <v>13090</v>
      </c>
      <c r="AE39" s="127">
        <f t="shared" ref="AE39:AL39" si="179">SUM(AE40:AE44)</f>
        <v>0</v>
      </c>
      <c r="AF39" s="127">
        <f t="shared" si="179"/>
        <v>14500</v>
      </c>
      <c r="AG39" s="127">
        <f t="shared" si="179"/>
        <v>0</v>
      </c>
      <c r="AH39" s="127">
        <f t="shared" si="179"/>
        <v>0</v>
      </c>
      <c r="AI39" s="127">
        <f t="shared" si="179"/>
        <v>0</v>
      </c>
      <c r="AJ39" s="127">
        <f t="shared" si="179"/>
        <v>0</v>
      </c>
      <c r="AK39" s="127">
        <f t="shared" si="179"/>
        <v>0</v>
      </c>
      <c r="AL39" s="127">
        <f t="shared" si="179"/>
        <v>0</v>
      </c>
      <c r="AM39" s="172">
        <f>SUM(AE39:AL39)</f>
        <v>14500</v>
      </c>
      <c r="AN39" s="190"/>
    </row>
    <row r="40" spans="1:40" s="8" customFormat="1" ht="12.75" outlineLevel="1" x14ac:dyDescent="0.2">
      <c r="B40" s="7"/>
      <c r="C40" s="7" t="s">
        <v>118</v>
      </c>
      <c r="D40" s="7"/>
      <c r="E40" s="7" t="s">
        <v>139</v>
      </c>
      <c r="F40" s="9"/>
      <c r="G40" s="7" t="s">
        <v>105</v>
      </c>
      <c r="H40" s="9"/>
      <c r="I40" s="163">
        <v>3000</v>
      </c>
      <c r="J40" s="164">
        <f t="shared" ref="J40" si="180">K40-I40</f>
        <v>570</v>
      </c>
      <c r="K40" s="165">
        <f t="shared" ref="K40" si="181">I40*1.19</f>
        <v>3570</v>
      </c>
      <c r="L40" s="11"/>
      <c r="M40" s="11">
        <f>K40</f>
        <v>3570</v>
      </c>
      <c r="N40" s="11">
        <f>K40*$N$5+K40</f>
        <v>3748.5</v>
      </c>
      <c r="O40" s="11">
        <f>N40*$O$5+N40</f>
        <v>3935.9250000000002</v>
      </c>
      <c r="P40" s="11">
        <f>O40*$P$5+O40</f>
        <v>4132.7212500000005</v>
      </c>
      <c r="Q40" s="11">
        <f>P40*$Q$5+P40</f>
        <v>4339.3573125000003</v>
      </c>
      <c r="R40" s="11">
        <f t="shared" ref="R40:T44" si="182">Q40*$R$5+Q40</f>
        <v>4556.3251781250001</v>
      </c>
      <c r="S40" s="11">
        <f t="shared" si="182"/>
        <v>4784.1414370312505</v>
      </c>
      <c r="T40" s="11">
        <f t="shared" si="182"/>
        <v>5023.3485088828129</v>
      </c>
      <c r="U40" s="188"/>
      <c r="V40" s="184"/>
      <c r="W40" s="13">
        <f>K40</f>
        <v>3570</v>
      </c>
      <c r="X40" s="13"/>
      <c r="Y40" s="13"/>
      <c r="Z40" s="13"/>
      <c r="AA40" s="13"/>
      <c r="AB40" s="13"/>
      <c r="AC40" s="13"/>
      <c r="AD40" s="173">
        <f>SUM(V40:AC40)</f>
        <v>3570</v>
      </c>
      <c r="AE40" s="178" t="str">
        <f t="shared" ref="AE40:AE44" si="183">IF(V40="","",IF(V40=0,"",ROUNDUP(V40/500,0)*500))</f>
        <v/>
      </c>
      <c r="AF40" s="178">
        <f t="shared" ref="AF40:AF44" si="184">IF(W40="","",IF(W40=0,"",ROUNDUP(W40/500,0)*500))</f>
        <v>4000</v>
      </c>
      <c r="AG40" s="178" t="str">
        <f t="shared" ref="AG40:AG44" si="185">IF(X40="","",IF(X40=0,"",ROUNDUP(X40/500,0)*500))</f>
        <v/>
      </c>
      <c r="AH40" s="178" t="str">
        <f t="shared" ref="AH40:AH44" si="186">IF(Y40="","",IF(Y40=0,"",ROUNDUP(Y40/500,0)*500))</f>
        <v/>
      </c>
      <c r="AI40" s="178" t="str">
        <f t="shared" ref="AI40:AI44" si="187">IF(Z40="","",IF(Z40=0,"",ROUNDUP(Z40/500,0)*500))</f>
        <v/>
      </c>
      <c r="AJ40" s="178" t="str">
        <f t="shared" ref="AJ40:AJ44" si="188">IF(AA40="","",IF(AA40=0,"",ROUNDUP(AA40/500,0)*500))</f>
        <v/>
      </c>
      <c r="AK40" s="178" t="str">
        <f t="shared" ref="AK40:AK44" si="189">IF(AB40="","",IF(AB40=0,"",ROUNDUP(AB40/500,0)*500))</f>
        <v/>
      </c>
      <c r="AL40" s="178" t="str">
        <f t="shared" ref="AL40:AL44" si="190">IF(AC40="","",IF(AC40=0,"",ROUNDUP(AC40/500,0)*500))</f>
        <v/>
      </c>
      <c r="AM40" s="173">
        <f>SUM(AE40:AL40)</f>
        <v>4000</v>
      </c>
      <c r="AN40" s="190">
        <f>F40</f>
        <v>0</v>
      </c>
    </row>
    <row r="41" spans="1:40" s="8" customFormat="1" ht="12.75" outlineLevel="1" x14ac:dyDescent="0.2">
      <c r="B41" s="7"/>
      <c r="C41" s="7" t="s">
        <v>119</v>
      </c>
      <c r="D41" s="7"/>
      <c r="E41" s="7" t="s">
        <v>139</v>
      </c>
      <c r="F41" s="9"/>
      <c r="G41" s="7" t="s">
        <v>105</v>
      </c>
      <c r="H41" s="9"/>
      <c r="I41" s="167">
        <v>3000</v>
      </c>
      <c r="J41" s="164">
        <f t="shared" ref="J41:J44" si="191">K41-I41</f>
        <v>570</v>
      </c>
      <c r="K41" s="165">
        <f t="shared" ref="K41:K44" si="192">I41*1.19</f>
        <v>3570</v>
      </c>
      <c r="L41" s="11"/>
      <c r="M41" s="11">
        <f>K41</f>
        <v>3570</v>
      </c>
      <c r="N41" s="11">
        <f>M41*$N$5+M41</f>
        <v>3748.5</v>
      </c>
      <c r="O41" s="11">
        <f>N41*$O$5+N41</f>
        <v>3935.9250000000002</v>
      </c>
      <c r="P41" s="11">
        <f>O41*$P$5+O41</f>
        <v>4132.7212500000005</v>
      </c>
      <c r="Q41" s="11">
        <f>P41*$Q$5+P41</f>
        <v>4339.3573125000003</v>
      </c>
      <c r="R41" s="11">
        <f t="shared" si="182"/>
        <v>4556.3251781250001</v>
      </c>
      <c r="S41" s="11">
        <f t="shared" si="182"/>
        <v>4784.1414370312505</v>
      </c>
      <c r="T41" s="11">
        <f t="shared" si="182"/>
        <v>5023.3485088828129</v>
      </c>
      <c r="U41" s="188"/>
      <c r="V41" s="184"/>
      <c r="W41" s="13">
        <f t="shared" ref="W41:W43" si="193">K41</f>
        <v>3570</v>
      </c>
      <c r="X41" s="13"/>
      <c r="Y41" s="13"/>
      <c r="Z41" s="13"/>
      <c r="AA41" s="13"/>
      <c r="AB41" s="13"/>
      <c r="AC41" s="13"/>
      <c r="AD41" s="173">
        <f t="shared" ref="AD41:AD44" si="194">SUM(V41:AC41)</f>
        <v>3570</v>
      </c>
      <c r="AE41" s="178" t="str">
        <f t="shared" si="183"/>
        <v/>
      </c>
      <c r="AF41" s="178">
        <f t="shared" si="184"/>
        <v>4000</v>
      </c>
      <c r="AG41" s="178" t="str">
        <f t="shared" si="185"/>
        <v/>
      </c>
      <c r="AH41" s="178" t="str">
        <f t="shared" si="186"/>
        <v/>
      </c>
      <c r="AI41" s="178" t="str">
        <f t="shared" si="187"/>
        <v/>
      </c>
      <c r="AJ41" s="178" t="str">
        <f t="shared" si="188"/>
        <v/>
      </c>
      <c r="AK41" s="178" t="str">
        <f t="shared" si="189"/>
        <v/>
      </c>
      <c r="AL41" s="178" t="str">
        <f t="shared" si="190"/>
        <v/>
      </c>
      <c r="AM41" s="173">
        <f t="shared" ref="AM41:AM44" si="195">SUM(AE41:AL41)</f>
        <v>4000</v>
      </c>
      <c r="AN41" s="190">
        <f>F41</f>
        <v>0</v>
      </c>
    </row>
    <row r="42" spans="1:40" s="8" customFormat="1" ht="12.75" outlineLevel="1" x14ac:dyDescent="0.2">
      <c r="B42" s="7"/>
      <c r="C42" s="7" t="s">
        <v>120</v>
      </c>
      <c r="D42" s="7"/>
      <c r="E42" s="7" t="s">
        <v>139</v>
      </c>
      <c r="F42" s="9"/>
      <c r="G42" s="7" t="s">
        <v>105</v>
      </c>
      <c r="H42" s="9"/>
      <c r="I42" s="163">
        <v>3000</v>
      </c>
      <c r="J42" s="164">
        <f t="shared" si="191"/>
        <v>570</v>
      </c>
      <c r="K42" s="165">
        <f t="shared" si="192"/>
        <v>3570</v>
      </c>
      <c r="L42" s="11"/>
      <c r="M42" s="11">
        <f>K42</f>
        <v>3570</v>
      </c>
      <c r="N42" s="11">
        <f>M42*$N$5+M42</f>
        <v>3748.5</v>
      </c>
      <c r="O42" s="11">
        <f>N42*$O$5+N42</f>
        <v>3935.9250000000002</v>
      </c>
      <c r="P42" s="11">
        <f>O42*$P$5+O42</f>
        <v>4132.7212500000005</v>
      </c>
      <c r="Q42" s="11">
        <f>P42*$Q$5+P42</f>
        <v>4339.3573125000003</v>
      </c>
      <c r="R42" s="11">
        <f t="shared" si="182"/>
        <v>4556.3251781250001</v>
      </c>
      <c r="S42" s="11">
        <f t="shared" si="182"/>
        <v>4784.1414370312505</v>
      </c>
      <c r="T42" s="11">
        <f t="shared" si="182"/>
        <v>5023.3485088828129</v>
      </c>
      <c r="U42" s="188"/>
      <c r="V42" s="184"/>
      <c r="W42" s="13">
        <f t="shared" si="193"/>
        <v>3570</v>
      </c>
      <c r="X42" s="13"/>
      <c r="Y42" s="13"/>
      <c r="Z42" s="13"/>
      <c r="AA42" s="13"/>
      <c r="AB42" s="13"/>
      <c r="AC42" s="13"/>
      <c r="AD42" s="173">
        <f t="shared" si="194"/>
        <v>3570</v>
      </c>
      <c r="AE42" s="178" t="str">
        <f t="shared" si="183"/>
        <v/>
      </c>
      <c r="AF42" s="178">
        <f t="shared" si="184"/>
        <v>4000</v>
      </c>
      <c r="AG42" s="178" t="str">
        <f t="shared" si="185"/>
        <v/>
      </c>
      <c r="AH42" s="178" t="str">
        <f t="shared" si="186"/>
        <v/>
      </c>
      <c r="AI42" s="178" t="str">
        <f t="shared" si="187"/>
        <v/>
      </c>
      <c r="AJ42" s="178" t="str">
        <f t="shared" si="188"/>
        <v/>
      </c>
      <c r="AK42" s="178" t="str">
        <f t="shared" si="189"/>
        <v/>
      </c>
      <c r="AL42" s="178" t="str">
        <f t="shared" si="190"/>
        <v/>
      </c>
      <c r="AM42" s="173">
        <f t="shared" si="195"/>
        <v>4000</v>
      </c>
      <c r="AN42" s="190">
        <f>F42</f>
        <v>0</v>
      </c>
    </row>
    <row r="43" spans="1:40" s="8" customFormat="1" ht="12.75" outlineLevel="1" x14ac:dyDescent="0.2">
      <c r="B43" s="7"/>
      <c r="C43" s="7" t="s">
        <v>115</v>
      </c>
      <c r="D43" s="7"/>
      <c r="E43" s="7" t="s">
        <v>139</v>
      </c>
      <c r="F43" s="9"/>
      <c r="G43" s="7" t="s">
        <v>105</v>
      </c>
      <c r="H43" s="9"/>
      <c r="I43" s="163">
        <v>2000</v>
      </c>
      <c r="J43" s="164">
        <f t="shared" ref="J43" si="196">K43-I43</f>
        <v>380</v>
      </c>
      <c r="K43" s="165">
        <f t="shared" ref="K43" si="197">I43*1.19</f>
        <v>2380</v>
      </c>
      <c r="L43" s="11"/>
      <c r="M43" s="11">
        <f>K43</f>
        <v>2380</v>
      </c>
      <c r="N43" s="11">
        <f>M43*$N$5+M43</f>
        <v>2499</v>
      </c>
      <c r="O43" s="11">
        <f>N43*$O$5+N43</f>
        <v>2623.95</v>
      </c>
      <c r="P43" s="11">
        <f>O43*$P$5+O43</f>
        <v>2755.1475</v>
      </c>
      <c r="Q43" s="11">
        <f>P43*$Q$5+P43</f>
        <v>2892.9048750000002</v>
      </c>
      <c r="R43" s="11">
        <f t="shared" ref="R43" si="198">Q43*$R$5+Q43</f>
        <v>3037.5501187500004</v>
      </c>
      <c r="S43" s="11">
        <f t="shared" ref="S43" si="199">R43*$R$5+R43</f>
        <v>3189.4276246875006</v>
      </c>
      <c r="T43" s="11">
        <f t="shared" ref="T43" si="200">S43*$R$5+S43</f>
        <v>3348.8990059218759</v>
      </c>
      <c r="U43" s="188"/>
      <c r="V43" s="184"/>
      <c r="W43" s="13">
        <f t="shared" si="193"/>
        <v>2380</v>
      </c>
      <c r="X43" s="13"/>
      <c r="Y43" s="13"/>
      <c r="Z43" s="13"/>
      <c r="AA43" s="13"/>
      <c r="AB43" s="13"/>
      <c r="AC43" s="13"/>
      <c r="AD43" s="173">
        <f t="shared" ref="AD43" si="201">SUM(V43:AC43)</f>
        <v>2380</v>
      </c>
      <c r="AE43" s="178" t="str">
        <f t="shared" ref="AE43" si="202">IF(V43="","",IF(V43=0,"",ROUNDUP(V43/500,0)*500))</f>
        <v/>
      </c>
      <c r="AF43" s="178">
        <f t="shared" ref="AF43" si="203">IF(W43="","",IF(W43=0,"",ROUNDUP(W43/500,0)*500))</f>
        <v>2500</v>
      </c>
      <c r="AG43" s="178" t="str">
        <f t="shared" ref="AG43" si="204">IF(X43="","",IF(X43=0,"",ROUNDUP(X43/500,0)*500))</f>
        <v/>
      </c>
      <c r="AH43" s="178" t="str">
        <f t="shared" ref="AH43" si="205">IF(Y43="","",IF(Y43=0,"",ROUNDUP(Y43/500,0)*500))</f>
        <v/>
      </c>
      <c r="AI43" s="178" t="str">
        <f t="shared" ref="AI43" si="206">IF(Z43="","",IF(Z43=0,"",ROUNDUP(Z43/500,0)*500))</f>
        <v/>
      </c>
      <c r="AJ43" s="178" t="str">
        <f t="shared" ref="AJ43" si="207">IF(AA43="","",IF(AA43=0,"",ROUNDUP(AA43/500,0)*500))</f>
        <v/>
      </c>
      <c r="AK43" s="178" t="str">
        <f t="shared" ref="AK43" si="208">IF(AB43="","",IF(AB43=0,"",ROUNDUP(AB43/500,0)*500))</f>
        <v/>
      </c>
      <c r="AL43" s="178" t="str">
        <f t="shared" ref="AL43" si="209">IF(AC43="","",IF(AC43=0,"",ROUNDUP(AC43/500,0)*500))</f>
        <v/>
      </c>
      <c r="AM43" s="173">
        <f t="shared" ref="AM43" si="210">SUM(AE43:AL43)</f>
        <v>2500</v>
      </c>
      <c r="AN43" s="190">
        <f>F43</f>
        <v>0</v>
      </c>
    </row>
    <row r="44" spans="1:40" s="8" customFormat="1" ht="12.75" outlineLevel="1" x14ac:dyDescent="0.2">
      <c r="B44" s="7"/>
      <c r="C44" s="7"/>
      <c r="D44" s="7"/>
      <c r="E44" s="7"/>
      <c r="F44" s="9"/>
      <c r="G44" s="7"/>
      <c r="H44" s="9"/>
      <c r="I44" s="163"/>
      <c r="J44" s="164">
        <f t="shared" si="191"/>
        <v>0</v>
      </c>
      <c r="K44" s="165">
        <f t="shared" si="192"/>
        <v>0</v>
      </c>
      <c r="L44" s="11"/>
      <c r="M44" s="11">
        <f>K44</f>
        <v>0</v>
      </c>
      <c r="N44" s="11">
        <f>M44*$N$5+M44</f>
        <v>0</v>
      </c>
      <c r="O44" s="11">
        <f>N44*$O$5+N44</f>
        <v>0</v>
      </c>
      <c r="P44" s="11">
        <f>O44*$P$5+O44</f>
        <v>0</v>
      </c>
      <c r="Q44" s="11">
        <f>P44*$Q$5+P44</f>
        <v>0</v>
      </c>
      <c r="R44" s="11">
        <f t="shared" si="182"/>
        <v>0</v>
      </c>
      <c r="S44" s="11">
        <f t="shared" si="182"/>
        <v>0</v>
      </c>
      <c r="T44" s="11">
        <f t="shared" si="182"/>
        <v>0</v>
      </c>
      <c r="U44" s="188"/>
      <c r="V44" s="184"/>
      <c r="W44" s="13"/>
      <c r="X44" s="13"/>
      <c r="Y44" s="13"/>
      <c r="Z44" s="13"/>
      <c r="AA44" s="13"/>
      <c r="AB44" s="13"/>
      <c r="AC44" s="13"/>
      <c r="AD44" s="173">
        <f t="shared" si="194"/>
        <v>0</v>
      </c>
      <c r="AE44" s="178" t="str">
        <f t="shared" si="183"/>
        <v/>
      </c>
      <c r="AF44" s="178" t="str">
        <f t="shared" si="184"/>
        <v/>
      </c>
      <c r="AG44" s="178" t="str">
        <f t="shared" si="185"/>
        <v/>
      </c>
      <c r="AH44" s="178" t="str">
        <f t="shared" si="186"/>
        <v/>
      </c>
      <c r="AI44" s="178" t="str">
        <f t="shared" si="187"/>
        <v/>
      </c>
      <c r="AJ44" s="178" t="str">
        <f t="shared" si="188"/>
        <v/>
      </c>
      <c r="AK44" s="178" t="str">
        <f t="shared" si="189"/>
        <v/>
      </c>
      <c r="AL44" s="178" t="str">
        <f t="shared" si="190"/>
        <v/>
      </c>
      <c r="AM44" s="173">
        <f t="shared" si="195"/>
        <v>0</v>
      </c>
      <c r="AN44" s="190">
        <f>F44</f>
        <v>0</v>
      </c>
    </row>
    <row r="45" spans="1:40" s="126" customFormat="1" ht="21" customHeight="1" x14ac:dyDescent="0.2">
      <c r="A45" s="142"/>
      <c r="B45" s="126" t="s">
        <v>107</v>
      </c>
      <c r="F45" s="191"/>
      <c r="H45" s="143"/>
      <c r="I45" s="162">
        <f t="shared" ref="I45:T45" si="211">SUM(I46:I49)</f>
        <v>0</v>
      </c>
      <c r="J45" s="162">
        <f t="shared" si="211"/>
        <v>0</v>
      </c>
      <c r="K45" s="166">
        <f t="shared" si="211"/>
        <v>0</v>
      </c>
      <c r="L45" s="127">
        <f t="shared" si="211"/>
        <v>0</v>
      </c>
      <c r="M45" s="147">
        <f t="shared" si="211"/>
        <v>0</v>
      </c>
      <c r="N45" s="147">
        <f t="shared" si="211"/>
        <v>0</v>
      </c>
      <c r="O45" s="147">
        <f t="shared" si="211"/>
        <v>0</v>
      </c>
      <c r="P45" s="147">
        <f t="shared" si="211"/>
        <v>0</v>
      </c>
      <c r="Q45" s="147">
        <f t="shared" si="211"/>
        <v>0</v>
      </c>
      <c r="R45" s="147">
        <f t="shared" si="211"/>
        <v>0</v>
      </c>
      <c r="S45" s="147">
        <f t="shared" si="211"/>
        <v>0</v>
      </c>
      <c r="T45" s="147">
        <f t="shared" si="211"/>
        <v>0</v>
      </c>
      <c r="V45" s="127">
        <f t="shared" ref="V45:AC45" si="212">SUM(V46:V49)</f>
        <v>0</v>
      </c>
      <c r="W45" s="127">
        <f t="shared" si="212"/>
        <v>0</v>
      </c>
      <c r="X45" s="127">
        <f t="shared" si="212"/>
        <v>0</v>
      </c>
      <c r="Y45" s="127">
        <f t="shared" si="212"/>
        <v>0</v>
      </c>
      <c r="Z45" s="127">
        <f t="shared" si="212"/>
        <v>0</v>
      </c>
      <c r="AA45" s="127">
        <f t="shared" si="212"/>
        <v>0</v>
      </c>
      <c r="AB45" s="127">
        <f t="shared" si="212"/>
        <v>0</v>
      </c>
      <c r="AC45" s="127">
        <f t="shared" si="212"/>
        <v>0</v>
      </c>
      <c r="AD45" s="172">
        <f>SUM(V45:AC45)</f>
        <v>0</v>
      </c>
      <c r="AE45" s="127">
        <f t="shared" ref="AE45:AL45" si="213">SUM(AE46:AE49)</f>
        <v>0</v>
      </c>
      <c r="AF45" s="127">
        <f t="shared" si="213"/>
        <v>0</v>
      </c>
      <c r="AG45" s="127">
        <f t="shared" si="213"/>
        <v>0</v>
      </c>
      <c r="AH45" s="127">
        <f t="shared" si="213"/>
        <v>0</v>
      </c>
      <c r="AI45" s="127">
        <f t="shared" si="213"/>
        <v>0</v>
      </c>
      <c r="AJ45" s="127">
        <f t="shared" si="213"/>
        <v>0</v>
      </c>
      <c r="AK45" s="127">
        <f t="shared" si="213"/>
        <v>0</v>
      </c>
      <c r="AL45" s="127">
        <f t="shared" si="213"/>
        <v>0</v>
      </c>
      <c r="AM45" s="172">
        <f>SUM(AE45:AL45)</f>
        <v>0</v>
      </c>
      <c r="AN45" s="190"/>
    </row>
    <row r="46" spans="1:40" s="8" customFormat="1" ht="12.75" outlineLevel="1" x14ac:dyDescent="0.2">
      <c r="B46" s="7"/>
      <c r="C46" s="7" t="s">
        <v>106</v>
      </c>
      <c r="D46" s="7"/>
      <c r="E46" s="7"/>
      <c r="F46" s="9"/>
      <c r="G46" s="7"/>
      <c r="H46" s="9"/>
      <c r="I46" s="163"/>
      <c r="J46" s="164">
        <f t="shared" ref="J46:J48" si="214">K46-I46</f>
        <v>0</v>
      </c>
      <c r="K46" s="165">
        <f t="shared" ref="K46:K48" si="215">I46*1.19</f>
        <v>0</v>
      </c>
      <c r="L46" s="11"/>
      <c r="M46" s="11">
        <f t="shared" ref="M46:M49" si="216">K46</f>
        <v>0</v>
      </c>
      <c r="N46" s="11">
        <f t="shared" ref="N46:N49" si="217">K46*$N$5+K46</f>
        <v>0</v>
      </c>
      <c r="O46" s="11">
        <f t="shared" ref="O46:O49" si="218">N46*$O$5+N46</f>
        <v>0</v>
      </c>
      <c r="P46" s="11">
        <f t="shared" ref="P46:P49" si="219">O46*$P$5+O46</f>
        <v>0</v>
      </c>
      <c r="Q46" s="11">
        <f t="shared" ref="Q46:Q49" si="220">P46*$Q$5+P46</f>
        <v>0</v>
      </c>
      <c r="R46" s="11">
        <f t="shared" ref="R46:R49" si="221">Q46*$R$5+Q46</f>
        <v>0</v>
      </c>
      <c r="S46" s="11">
        <f t="shared" ref="S46:S49" si="222">R46*$R$5+R46</f>
        <v>0</v>
      </c>
      <c r="T46" s="11">
        <f t="shared" ref="T46:T49" si="223">S46*$R$5+S46</f>
        <v>0</v>
      </c>
      <c r="U46" s="188"/>
      <c r="V46" s="184"/>
      <c r="W46" s="13"/>
      <c r="X46" s="13"/>
      <c r="Y46" s="13"/>
      <c r="Z46" s="13"/>
      <c r="AA46" s="13"/>
      <c r="AB46" s="13"/>
      <c r="AC46" s="13"/>
      <c r="AD46" s="173">
        <f t="shared" ref="AD46:AD48" si="224">SUM(V46:AC46)</f>
        <v>0</v>
      </c>
      <c r="AE46" s="178" t="str">
        <f t="shared" ref="AE46:AE49" si="225">IF(V46="","",IF(V46=0,"",ROUNDUP(V46/500,0)*500))</f>
        <v/>
      </c>
      <c r="AF46" s="178" t="str">
        <f t="shared" ref="AF46:AF49" si="226">IF(W46="","",IF(W46=0,"",ROUNDUP(W46/500,0)*500))</f>
        <v/>
      </c>
      <c r="AG46" s="178" t="str">
        <f t="shared" ref="AG46:AG49" si="227">IF(X46="","",IF(X46=0,"",ROUNDUP(X46/500,0)*500))</f>
        <v/>
      </c>
      <c r="AH46" s="178" t="str">
        <f t="shared" ref="AH46:AH49" si="228">IF(Y46="","",IF(Y46=0,"",ROUNDUP(Y46/500,0)*500))</f>
        <v/>
      </c>
      <c r="AI46" s="178" t="str">
        <f t="shared" ref="AI46:AI49" si="229">IF(Z46="","",IF(Z46=0,"",ROUNDUP(Z46/500,0)*500))</f>
        <v/>
      </c>
      <c r="AJ46" s="178" t="str">
        <f t="shared" ref="AJ46:AJ49" si="230">IF(AA46="","",IF(AA46=0,"",ROUNDUP(AA46/500,0)*500))</f>
        <v/>
      </c>
      <c r="AK46" s="178" t="str">
        <f t="shared" ref="AK46:AK49" si="231">IF(AB46="","",IF(AB46=0,"",ROUNDUP(AB46/500,0)*500))</f>
        <v/>
      </c>
      <c r="AL46" s="178" t="str">
        <f t="shared" ref="AL46:AL49" si="232">IF(AC46="","",IF(AC46=0,"",ROUNDUP(AC46/500,0)*500))</f>
        <v/>
      </c>
      <c r="AM46" s="173">
        <f t="shared" ref="AM46:AM48" si="233">SUM(AE46:AL46)</f>
        <v>0</v>
      </c>
      <c r="AN46" s="190">
        <f>F46</f>
        <v>0</v>
      </c>
    </row>
    <row r="47" spans="1:40" s="8" customFormat="1" ht="12.75" outlineLevel="1" x14ac:dyDescent="0.2">
      <c r="B47" s="7"/>
      <c r="C47" s="7" t="s">
        <v>106</v>
      </c>
      <c r="D47" s="7"/>
      <c r="E47" s="7"/>
      <c r="F47" s="9"/>
      <c r="G47" s="7"/>
      <c r="H47" s="9"/>
      <c r="I47" s="163"/>
      <c r="J47" s="164">
        <f t="shared" si="214"/>
        <v>0</v>
      </c>
      <c r="K47" s="165">
        <f t="shared" si="215"/>
        <v>0</v>
      </c>
      <c r="L47" s="11"/>
      <c r="M47" s="11">
        <f t="shared" si="216"/>
        <v>0</v>
      </c>
      <c r="N47" s="11">
        <f t="shared" si="217"/>
        <v>0</v>
      </c>
      <c r="O47" s="11">
        <f t="shared" si="218"/>
        <v>0</v>
      </c>
      <c r="P47" s="11">
        <f t="shared" si="219"/>
        <v>0</v>
      </c>
      <c r="Q47" s="11">
        <f t="shared" si="220"/>
        <v>0</v>
      </c>
      <c r="R47" s="11">
        <f t="shared" si="221"/>
        <v>0</v>
      </c>
      <c r="S47" s="11">
        <f t="shared" si="222"/>
        <v>0</v>
      </c>
      <c r="T47" s="11">
        <f t="shared" si="223"/>
        <v>0</v>
      </c>
      <c r="U47" s="188"/>
      <c r="V47" s="184"/>
      <c r="W47" s="13"/>
      <c r="X47" s="13"/>
      <c r="Y47" s="13"/>
      <c r="Z47" s="13"/>
      <c r="AA47" s="13"/>
      <c r="AB47" s="13"/>
      <c r="AC47" s="13"/>
      <c r="AD47" s="173">
        <f t="shared" si="224"/>
        <v>0</v>
      </c>
      <c r="AE47" s="178" t="str">
        <f t="shared" si="225"/>
        <v/>
      </c>
      <c r="AF47" s="178" t="str">
        <f t="shared" si="226"/>
        <v/>
      </c>
      <c r="AG47" s="178" t="str">
        <f t="shared" si="227"/>
        <v/>
      </c>
      <c r="AH47" s="178" t="str">
        <f t="shared" si="228"/>
        <v/>
      </c>
      <c r="AI47" s="178" t="str">
        <f t="shared" si="229"/>
        <v/>
      </c>
      <c r="AJ47" s="178" t="str">
        <f t="shared" si="230"/>
        <v/>
      </c>
      <c r="AK47" s="178" t="str">
        <f t="shared" si="231"/>
        <v/>
      </c>
      <c r="AL47" s="178" t="str">
        <f t="shared" si="232"/>
        <v/>
      </c>
      <c r="AM47" s="173">
        <f t="shared" si="233"/>
        <v>0</v>
      </c>
      <c r="AN47" s="190">
        <f>F47</f>
        <v>0</v>
      </c>
    </row>
    <row r="48" spans="1:40" s="8" customFormat="1" ht="12.75" outlineLevel="1" x14ac:dyDescent="0.2">
      <c r="B48" s="7"/>
      <c r="C48" s="7" t="s">
        <v>106</v>
      </c>
      <c r="D48" s="7"/>
      <c r="E48" s="7"/>
      <c r="F48" s="9"/>
      <c r="G48" s="7"/>
      <c r="H48" s="9"/>
      <c r="I48" s="163"/>
      <c r="J48" s="164">
        <f t="shared" si="214"/>
        <v>0</v>
      </c>
      <c r="K48" s="165">
        <f t="shared" si="215"/>
        <v>0</v>
      </c>
      <c r="L48" s="11"/>
      <c r="M48" s="11">
        <f t="shared" si="216"/>
        <v>0</v>
      </c>
      <c r="N48" s="11">
        <f t="shared" si="217"/>
        <v>0</v>
      </c>
      <c r="O48" s="11">
        <f t="shared" si="218"/>
        <v>0</v>
      </c>
      <c r="P48" s="11">
        <f t="shared" si="219"/>
        <v>0</v>
      </c>
      <c r="Q48" s="11">
        <f t="shared" si="220"/>
        <v>0</v>
      </c>
      <c r="R48" s="11">
        <f t="shared" si="221"/>
        <v>0</v>
      </c>
      <c r="S48" s="11">
        <f t="shared" si="222"/>
        <v>0</v>
      </c>
      <c r="T48" s="11">
        <f t="shared" si="223"/>
        <v>0</v>
      </c>
      <c r="U48" s="188"/>
      <c r="V48" s="184"/>
      <c r="W48" s="13"/>
      <c r="X48" s="13"/>
      <c r="Y48" s="13"/>
      <c r="Z48" s="13"/>
      <c r="AA48" s="13"/>
      <c r="AB48" s="13"/>
      <c r="AC48" s="13"/>
      <c r="AD48" s="173">
        <f t="shared" si="224"/>
        <v>0</v>
      </c>
      <c r="AE48" s="178" t="str">
        <f t="shared" si="225"/>
        <v/>
      </c>
      <c r="AF48" s="178" t="str">
        <f t="shared" si="226"/>
        <v/>
      </c>
      <c r="AG48" s="178" t="str">
        <f t="shared" si="227"/>
        <v/>
      </c>
      <c r="AH48" s="178" t="str">
        <f t="shared" si="228"/>
        <v/>
      </c>
      <c r="AI48" s="178" t="str">
        <f t="shared" si="229"/>
        <v/>
      </c>
      <c r="AJ48" s="178" t="str">
        <f t="shared" si="230"/>
        <v/>
      </c>
      <c r="AK48" s="178" t="str">
        <f t="shared" si="231"/>
        <v/>
      </c>
      <c r="AL48" s="178" t="str">
        <f t="shared" si="232"/>
        <v/>
      </c>
      <c r="AM48" s="173">
        <f t="shared" si="233"/>
        <v>0</v>
      </c>
      <c r="AN48" s="190">
        <f>F48</f>
        <v>0</v>
      </c>
    </row>
    <row r="49" spans="1:40" s="8" customFormat="1" ht="12.75" outlineLevel="1" x14ac:dyDescent="0.2">
      <c r="B49" s="7"/>
      <c r="C49" s="7"/>
      <c r="D49" s="7"/>
      <c r="E49" s="7"/>
      <c r="F49" s="9"/>
      <c r="G49" s="7"/>
      <c r="H49" s="9"/>
      <c r="I49" s="163"/>
      <c r="J49" s="164"/>
      <c r="K49" s="165"/>
      <c r="L49" s="11"/>
      <c r="M49" s="11">
        <f t="shared" si="216"/>
        <v>0</v>
      </c>
      <c r="N49" s="11">
        <f t="shared" si="217"/>
        <v>0</v>
      </c>
      <c r="O49" s="11">
        <f t="shared" si="218"/>
        <v>0</v>
      </c>
      <c r="P49" s="11">
        <f t="shared" si="219"/>
        <v>0</v>
      </c>
      <c r="Q49" s="11">
        <f t="shared" si="220"/>
        <v>0</v>
      </c>
      <c r="R49" s="11">
        <f t="shared" si="221"/>
        <v>0</v>
      </c>
      <c r="S49" s="11">
        <f t="shared" si="222"/>
        <v>0</v>
      </c>
      <c r="T49" s="11">
        <f t="shared" si="223"/>
        <v>0</v>
      </c>
      <c r="U49" s="188"/>
      <c r="V49" s="184"/>
      <c r="W49" s="13"/>
      <c r="X49" s="13"/>
      <c r="Y49" s="13"/>
      <c r="Z49" s="13"/>
      <c r="AA49" s="13"/>
      <c r="AB49" s="13"/>
      <c r="AC49" s="13"/>
      <c r="AD49" s="173"/>
      <c r="AE49" s="178" t="str">
        <f t="shared" si="225"/>
        <v/>
      </c>
      <c r="AF49" s="178" t="str">
        <f t="shared" si="226"/>
        <v/>
      </c>
      <c r="AG49" s="178" t="str">
        <f t="shared" si="227"/>
        <v/>
      </c>
      <c r="AH49" s="178" t="str">
        <f t="shared" si="228"/>
        <v/>
      </c>
      <c r="AI49" s="178" t="str">
        <f t="shared" si="229"/>
        <v/>
      </c>
      <c r="AJ49" s="178" t="str">
        <f t="shared" si="230"/>
        <v/>
      </c>
      <c r="AK49" s="178" t="str">
        <f t="shared" si="231"/>
        <v/>
      </c>
      <c r="AL49" s="178" t="str">
        <f t="shared" si="232"/>
        <v/>
      </c>
      <c r="AM49" s="173"/>
      <c r="AN49" s="190">
        <f>F49</f>
        <v>0</v>
      </c>
    </row>
    <row r="50" spans="1:40" s="126" customFormat="1" ht="21" customHeight="1" x14ac:dyDescent="0.2">
      <c r="A50" s="142"/>
      <c r="B50" s="126" t="s">
        <v>9</v>
      </c>
      <c r="F50" s="191"/>
      <c r="H50" s="143"/>
      <c r="I50" s="162">
        <f t="shared" ref="I50:T50" si="234">SUM(I51:I53)</f>
        <v>20500</v>
      </c>
      <c r="J50" s="162">
        <f t="shared" si="234"/>
        <v>3895</v>
      </c>
      <c r="K50" s="166">
        <f t="shared" si="234"/>
        <v>24395</v>
      </c>
      <c r="L50" s="127">
        <f t="shared" si="234"/>
        <v>0</v>
      </c>
      <c r="M50" s="147">
        <f t="shared" si="234"/>
        <v>24395</v>
      </c>
      <c r="N50" s="147">
        <f t="shared" si="234"/>
        <v>25614.75</v>
      </c>
      <c r="O50" s="147">
        <f t="shared" si="234"/>
        <v>26895.487499999999</v>
      </c>
      <c r="P50" s="147">
        <f t="shared" si="234"/>
        <v>28240.261874999997</v>
      </c>
      <c r="Q50" s="147">
        <f t="shared" si="234"/>
        <v>29652.274968749996</v>
      </c>
      <c r="R50" s="147">
        <f t="shared" si="234"/>
        <v>31134.888717187496</v>
      </c>
      <c r="S50" s="147">
        <f t="shared" si="234"/>
        <v>32691.633153046871</v>
      </c>
      <c r="T50" s="147">
        <f t="shared" si="234"/>
        <v>34326.214810699217</v>
      </c>
      <c r="V50" s="127">
        <f t="shared" ref="V50:AC50" si="235">SUM(V51:V53)</f>
        <v>0</v>
      </c>
      <c r="W50" s="127">
        <f t="shared" si="235"/>
        <v>16243.5</v>
      </c>
      <c r="X50" s="127">
        <f t="shared" si="235"/>
        <v>9839.8125</v>
      </c>
      <c r="Y50" s="127">
        <f t="shared" si="235"/>
        <v>10331.803125</v>
      </c>
      <c r="Z50" s="127">
        <f t="shared" si="235"/>
        <v>10848.393281250001</v>
      </c>
      <c r="AA50" s="127">
        <f t="shared" si="235"/>
        <v>11390.8129453125</v>
      </c>
      <c r="AB50" s="127">
        <f t="shared" si="235"/>
        <v>11960.353592578125</v>
      </c>
      <c r="AC50" s="127">
        <f t="shared" si="235"/>
        <v>12558.371272207032</v>
      </c>
      <c r="AD50" s="172">
        <f>SUM(V50:AC50)</f>
        <v>83173.046716347657</v>
      </c>
      <c r="AE50" s="127">
        <f t="shared" ref="AE50:AL50" si="236">SUM(AE51:AE53)</f>
        <v>0</v>
      </c>
      <c r="AF50" s="127">
        <f t="shared" si="236"/>
        <v>16500</v>
      </c>
      <c r="AG50" s="127">
        <f t="shared" si="236"/>
        <v>10000</v>
      </c>
      <c r="AH50" s="127">
        <f t="shared" si="236"/>
        <v>10500</v>
      </c>
      <c r="AI50" s="127">
        <f t="shared" si="236"/>
        <v>11000</v>
      </c>
      <c r="AJ50" s="127">
        <f t="shared" si="236"/>
        <v>11500</v>
      </c>
      <c r="AK50" s="127">
        <f t="shared" si="236"/>
        <v>12000</v>
      </c>
      <c r="AL50" s="127">
        <f t="shared" si="236"/>
        <v>13000</v>
      </c>
      <c r="AM50" s="172">
        <f>SUM(AE50:AL50)</f>
        <v>84500</v>
      </c>
      <c r="AN50" s="190"/>
    </row>
    <row r="51" spans="1:40" s="8" customFormat="1" ht="12.75" outlineLevel="1" x14ac:dyDescent="0.2">
      <c r="B51" s="7"/>
      <c r="C51" s="7" t="s">
        <v>106</v>
      </c>
      <c r="D51" s="7"/>
      <c r="E51" s="7" t="s">
        <v>102</v>
      </c>
      <c r="F51" s="9"/>
      <c r="G51" s="7" t="s">
        <v>105</v>
      </c>
      <c r="H51" s="9">
        <v>2024</v>
      </c>
      <c r="I51" s="167">
        <v>13000</v>
      </c>
      <c r="J51" s="164">
        <f>K51-I51</f>
        <v>2470</v>
      </c>
      <c r="K51" s="165">
        <f>I51*1.19</f>
        <v>15470</v>
      </c>
      <c r="L51" s="11"/>
      <c r="M51" s="11">
        <f>K51</f>
        <v>15470</v>
      </c>
      <c r="N51" s="11">
        <f t="shared" ref="N51" si="237">M51*$N$5+M51</f>
        <v>16243.5</v>
      </c>
      <c r="O51" s="11">
        <f>N51*$O$5+N51</f>
        <v>17055.674999999999</v>
      </c>
      <c r="P51" s="11">
        <f>O51*$P$5+O51</f>
        <v>17908.458749999998</v>
      </c>
      <c r="Q51" s="11">
        <f>P51*$Q$5+P51</f>
        <v>18803.881687499997</v>
      </c>
      <c r="R51" s="11">
        <f>Q51*$R$5+Q51</f>
        <v>19744.075771874996</v>
      </c>
      <c r="S51" s="11">
        <f t="shared" ref="S51" si="238">R51*$S$5+R51</f>
        <v>20731.279560468745</v>
      </c>
      <c r="T51" s="11">
        <f t="shared" ref="T51" si="239">S51*$T$5+S51</f>
        <v>21767.843538492183</v>
      </c>
      <c r="U51" s="188"/>
      <c r="V51" s="184"/>
      <c r="W51" s="13">
        <f>N51</f>
        <v>16243.5</v>
      </c>
      <c r="X51" s="13"/>
      <c r="Y51" s="13"/>
      <c r="Z51" s="13"/>
      <c r="AA51" s="13"/>
      <c r="AB51" s="13"/>
      <c r="AC51" s="13"/>
      <c r="AD51" s="173">
        <f>SUM(V51:AC51)</f>
        <v>16243.5</v>
      </c>
      <c r="AE51" s="178" t="str">
        <f t="shared" ref="AE51:AE53" si="240">IF(V51="","",IF(V51=0,"",ROUNDUP(V51/500,0)*500))</f>
        <v/>
      </c>
      <c r="AF51" s="178">
        <f t="shared" ref="AF51:AF53" si="241">IF(W51="","",IF(W51=0,"",ROUNDUP(W51/500,0)*500))</f>
        <v>16500</v>
      </c>
      <c r="AG51" s="178" t="str">
        <f t="shared" ref="AG51:AG53" si="242">IF(X51="","",IF(X51=0,"",ROUNDUP(X51/500,0)*500))</f>
        <v/>
      </c>
      <c r="AH51" s="178" t="str">
        <f t="shared" ref="AH51:AH53" si="243">IF(Y51="","",IF(Y51=0,"",ROUNDUP(Y51/500,0)*500))</f>
        <v/>
      </c>
      <c r="AI51" s="178" t="str">
        <f t="shared" ref="AI51:AI53" si="244">IF(Z51="","",IF(Z51=0,"",ROUNDUP(Z51/500,0)*500))</f>
        <v/>
      </c>
      <c r="AJ51" s="178" t="str">
        <f t="shared" ref="AJ51:AJ53" si="245">IF(AA51="","",IF(AA51=0,"",ROUNDUP(AA51/500,0)*500))</f>
        <v/>
      </c>
      <c r="AK51" s="178" t="str">
        <f t="shared" ref="AK51:AK53" si="246">IF(AB51="","",IF(AB51=0,"",ROUNDUP(AB51/500,0)*500))</f>
        <v/>
      </c>
      <c r="AL51" s="178" t="str">
        <f t="shared" ref="AL51:AL53" si="247">IF(AC51="","",IF(AC51=0,"",ROUNDUP(AC51/500,0)*500))</f>
        <v/>
      </c>
      <c r="AM51" s="173">
        <f>SUM(AE51:AL51)</f>
        <v>16500</v>
      </c>
      <c r="AN51" s="190">
        <f>F51</f>
        <v>0</v>
      </c>
    </row>
    <row r="52" spans="1:40" s="8" customFormat="1" ht="12.75" outlineLevel="1" x14ac:dyDescent="0.2">
      <c r="B52" s="7"/>
      <c r="C52" s="7" t="s">
        <v>106</v>
      </c>
      <c r="D52" s="7"/>
      <c r="E52" s="7" t="s">
        <v>143</v>
      </c>
      <c r="F52" s="9"/>
      <c r="G52" s="7" t="s">
        <v>105</v>
      </c>
      <c r="H52" s="9">
        <v>2024</v>
      </c>
      <c r="I52" s="167">
        <v>7500</v>
      </c>
      <c r="J52" s="164">
        <f t="shared" ref="J52" si="248">K52-I52</f>
        <v>1425</v>
      </c>
      <c r="K52" s="165">
        <f t="shared" ref="K52" si="249">I52*1.19</f>
        <v>8925</v>
      </c>
      <c r="L52" s="11"/>
      <c r="M52" s="11">
        <f t="shared" ref="M52:M53" si="250">K52</f>
        <v>8925</v>
      </c>
      <c r="N52" s="11">
        <f t="shared" ref="N52:N53" si="251">M52*$N$5+M52</f>
        <v>9371.25</v>
      </c>
      <c r="O52" s="11">
        <f t="shared" ref="O52:O53" si="252">N52*$O$5+N52</f>
        <v>9839.8125</v>
      </c>
      <c r="P52" s="11">
        <f t="shared" ref="P52:P53" si="253">O52*$P$5+O52</f>
        <v>10331.803125</v>
      </c>
      <c r="Q52" s="11">
        <f t="shared" ref="Q52:Q53" si="254">P52*$Q$5+P52</f>
        <v>10848.393281250001</v>
      </c>
      <c r="R52" s="11">
        <f t="shared" ref="R52:R53" si="255">Q52*$R$5+Q52</f>
        <v>11390.8129453125</v>
      </c>
      <c r="S52" s="11">
        <f t="shared" ref="S52:S53" si="256">R52*$S$5+R52</f>
        <v>11960.353592578125</v>
      </c>
      <c r="T52" s="11">
        <f t="shared" ref="T52:T53" si="257">S52*$T$5+S52</f>
        <v>12558.371272207032</v>
      </c>
      <c r="U52" s="188"/>
      <c r="V52" s="184"/>
      <c r="W52" s="13"/>
      <c r="X52" s="13">
        <f t="shared" ref="X52:AC52" si="258">O52</f>
        <v>9839.8125</v>
      </c>
      <c r="Y52" s="13">
        <f t="shared" si="258"/>
        <v>10331.803125</v>
      </c>
      <c r="Z52" s="13">
        <f t="shared" si="258"/>
        <v>10848.393281250001</v>
      </c>
      <c r="AA52" s="13">
        <f t="shared" si="258"/>
        <v>11390.8129453125</v>
      </c>
      <c r="AB52" s="13">
        <f t="shared" si="258"/>
        <v>11960.353592578125</v>
      </c>
      <c r="AC52" s="13">
        <f t="shared" si="258"/>
        <v>12558.371272207032</v>
      </c>
      <c r="AD52" s="182">
        <f>SUM(V52:AC52)</f>
        <v>66929.546716347657</v>
      </c>
      <c r="AE52" s="178" t="str">
        <f t="shared" si="240"/>
        <v/>
      </c>
      <c r="AF52" s="178" t="str">
        <f t="shared" si="241"/>
        <v/>
      </c>
      <c r="AG52" s="178">
        <f t="shared" si="242"/>
        <v>10000</v>
      </c>
      <c r="AH52" s="178">
        <f t="shared" si="243"/>
        <v>10500</v>
      </c>
      <c r="AI52" s="178">
        <f t="shared" si="244"/>
        <v>11000</v>
      </c>
      <c r="AJ52" s="178">
        <f t="shared" si="245"/>
        <v>11500</v>
      </c>
      <c r="AK52" s="178">
        <f t="shared" si="246"/>
        <v>12000</v>
      </c>
      <c r="AL52" s="178">
        <f t="shared" si="247"/>
        <v>13000</v>
      </c>
      <c r="AM52" s="173">
        <f>SUM(AE52:AL52)</f>
        <v>68000</v>
      </c>
      <c r="AN52" s="190">
        <f>F52</f>
        <v>0</v>
      </c>
    </row>
    <row r="53" spans="1:40" s="8" customFormat="1" ht="12.75" outlineLevel="1" x14ac:dyDescent="0.2">
      <c r="B53" s="7"/>
      <c r="C53" s="7"/>
      <c r="D53" s="7"/>
      <c r="E53" s="7"/>
      <c r="F53" s="9"/>
      <c r="G53" s="7"/>
      <c r="H53" s="9"/>
      <c r="I53" s="167"/>
      <c r="J53" s="164"/>
      <c r="K53" s="165"/>
      <c r="L53" s="11"/>
      <c r="M53" s="11">
        <f t="shared" si="250"/>
        <v>0</v>
      </c>
      <c r="N53" s="11">
        <f t="shared" si="251"/>
        <v>0</v>
      </c>
      <c r="O53" s="11">
        <f t="shared" si="252"/>
        <v>0</v>
      </c>
      <c r="P53" s="11">
        <f t="shared" si="253"/>
        <v>0</v>
      </c>
      <c r="Q53" s="11">
        <f t="shared" si="254"/>
        <v>0</v>
      </c>
      <c r="R53" s="11">
        <f t="shared" si="255"/>
        <v>0</v>
      </c>
      <c r="S53" s="11">
        <f t="shared" si="256"/>
        <v>0</v>
      </c>
      <c r="T53" s="11">
        <f t="shared" si="257"/>
        <v>0</v>
      </c>
      <c r="U53" s="188"/>
      <c r="V53" s="184"/>
      <c r="W53" s="13"/>
      <c r="X53" s="13"/>
      <c r="Y53" s="13"/>
      <c r="Z53" s="13"/>
      <c r="AA53" s="13"/>
      <c r="AB53" s="13"/>
      <c r="AC53" s="13"/>
      <c r="AD53" s="173"/>
      <c r="AE53" s="178" t="str">
        <f t="shared" si="240"/>
        <v/>
      </c>
      <c r="AF53" s="178" t="str">
        <f t="shared" si="241"/>
        <v/>
      </c>
      <c r="AG53" s="178" t="str">
        <f t="shared" si="242"/>
        <v/>
      </c>
      <c r="AH53" s="178" t="str">
        <f t="shared" si="243"/>
        <v/>
      </c>
      <c r="AI53" s="178" t="str">
        <f t="shared" si="244"/>
        <v/>
      </c>
      <c r="AJ53" s="178" t="str">
        <f t="shared" si="245"/>
        <v/>
      </c>
      <c r="AK53" s="178" t="str">
        <f t="shared" si="246"/>
        <v/>
      </c>
      <c r="AL53" s="178" t="str">
        <f t="shared" si="247"/>
        <v/>
      </c>
      <c r="AM53" s="173"/>
      <c r="AN53" s="190">
        <f>F53</f>
        <v>0</v>
      </c>
    </row>
    <row r="54" spans="1:40" s="126" customFormat="1" ht="21" customHeight="1" x14ac:dyDescent="0.2">
      <c r="A54" s="142"/>
      <c r="B54" s="126" t="s">
        <v>8</v>
      </c>
      <c r="F54" s="191"/>
      <c r="H54" s="143"/>
      <c r="I54" s="162">
        <f t="shared" ref="I54:T54" si="259">SUM(I55:I56)</f>
        <v>0</v>
      </c>
      <c r="J54" s="162">
        <f t="shared" si="259"/>
        <v>0</v>
      </c>
      <c r="K54" s="166">
        <f t="shared" si="259"/>
        <v>0</v>
      </c>
      <c r="L54" s="127">
        <f t="shared" ref="L54" si="260">SUM(L55:L56)</f>
        <v>0</v>
      </c>
      <c r="M54" s="147">
        <f t="shared" si="259"/>
        <v>0</v>
      </c>
      <c r="N54" s="147">
        <f t="shared" si="259"/>
        <v>0</v>
      </c>
      <c r="O54" s="147">
        <f t="shared" si="259"/>
        <v>0</v>
      </c>
      <c r="P54" s="147">
        <f t="shared" si="259"/>
        <v>0</v>
      </c>
      <c r="Q54" s="147">
        <f t="shared" si="259"/>
        <v>0</v>
      </c>
      <c r="R54" s="147">
        <f t="shared" si="259"/>
        <v>0</v>
      </c>
      <c r="S54" s="147">
        <f t="shared" si="259"/>
        <v>0</v>
      </c>
      <c r="T54" s="147">
        <f t="shared" si="259"/>
        <v>0</v>
      </c>
      <c r="V54" s="127">
        <f t="shared" ref="V54:AC54" si="261">SUM(V55:V56)</f>
        <v>0</v>
      </c>
      <c r="W54" s="127">
        <f t="shared" si="261"/>
        <v>0</v>
      </c>
      <c r="X54" s="127">
        <f t="shared" si="261"/>
        <v>0</v>
      </c>
      <c r="Y54" s="127">
        <f t="shared" si="261"/>
        <v>0</v>
      </c>
      <c r="Z54" s="127">
        <f t="shared" si="261"/>
        <v>0</v>
      </c>
      <c r="AA54" s="127">
        <f t="shared" si="261"/>
        <v>0</v>
      </c>
      <c r="AB54" s="127">
        <f t="shared" si="261"/>
        <v>0</v>
      </c>
      <c r="AC54" s="127">
        <f t="shared" si="261"/>
        <v>0</v>
      </c>
      <c r="AD54" s="172">
        <f>SUM(V54:AC54)</f>
        <v>0</v>
      </c>
      <c r="AE54" s="127">
        <f t="shared" ref="AE54:AL54" si="262">SUM(AE55:AE56)</f>
        <v>0</v>
      </c>
      <c r="AF54" s="127">
        <f t="shared" si="262"/>
        <v>0</v>
      </c>
      <c r="AG54" s="127">
        <f t="shared" si="262"/>
        <v>0</v>
      </c>
      <c r="AH54" s="127">
        <f t="shared" si="262"/>
        <v>0</v>
      </c>
      <c r="AI54" s="127">
        <f t="shared" si="262"/>
        <v>0</v>
      </c>
      <c r="AJ54" s="127">
        <f t="shared" si="262"/>
        <v>0</v>
      </c>
      <c r="AK54" s="127">
        <f t="shared" si="262"/>
        <v>0</v>
      </c>
      <c r="AL54" s="127">
        <f t="shared" si="262"/>
        <v>0</v>
      </c>
      <c r="AM54" s="172">
        <f>SUM(AE54:AL54)</f>
        <v>0</v>
      </c>
      <c r="AN54" s="190"/>
    </row>
    <row r="55" spans="1:40" s="8" customFormat="1" ht="12.75" hidden="1" outlineLevel="1" x14ac:dyDescent="0.2">
      <c r="B55" s="7"/>
      <c r="C55" s="7"/>
      <c r="D55" s="7"/>
      <c r="E55" s="7" t="s">
        <v>125</v>
      </c>
      <c r="F55" s="9"/>
      <c r="G55" s="7"/>
      <c r="H55" s="9"/>
      <c r="I55" s="167">
        <v>0</v>
      </c>
      <c r="J55" s="164">
        <f>K55-I55</f>
        <v>0</v>
      </c>
      <c r="K55" s="165">
        <f>I55*1.19</f>
        <v>0</v>
      </c>
      <c r="L55" s="11"/>
      <c r="M55" s="11">
        <f>K55</f>
        <v>0</v>
      </c>
      <c r="N55" s="11">
        <f>M55*$N$5+M55</f>
        <v>0</v>
      </c>
      <c r="O55" s="11">
        <f>N55*$O$5+N55</f>
        <v>0</v>
      </c>
      <c r="P55" s="11">
        <f>O55*$P$5+O55</f>
        <v>0</v>
      </c>
      <c r="Q55" s="11">
        <f>P55*$Q$5+P55</f>
        <v>0</v>
      </c>
      <c r="R55" s="11">
        <f>Q55*$R$5+Q55</f>
        <v>0</v>
      </c>
      <c r="S55" s="11">
        <f>R55*$S$5+R55</f>
        <v>0</v>
      </c>
      <c r="T55" s="11">
        <f>S55*$T$5+S55</f>
        <v>0</v>
      </c>
      <c r="U55" s="188"/>
      <c r="V55" s="184"/>
      <c r="W55" s="13"/>
      <c r="X55" s="13"/>
      <c r="Y55" s="13"/>
      <c r="Z55" s="13"/>
      <c r="AA55" s="13">
        <f>R55</f>
        <v>0</v>
      </c>
      <c r="AB55" s="13"/>
      <c r="AC55" s="13"/>
      <c r="AD55" s="173">
        <f>SUM(V55:AC55)</f>
        <v>0</v>
      </c>
      <c r="AE55" s="178" t="str">
        <f t="shared" ref="AE55:AE57" si="263">IF(V55="","",IF(V55=0,"",ROUNDUP(V55/500,0)*500))</f>
        <v/>
      </c>
      <c r="AF55" s="178" t="str">
        <f t="shared" ref="AF55:AF57" si="264">IF(W55="","",IF(W55=0,"",ROUNDUP(W55/500,0)*500))</f>
        <v/>
      </c>
      <c r="AG55" s="178" t="str">
        <f t="shared" ref="AG55:AG57" si="265">IF(X55="","",IF(X55=0,"",ROUNDUP(X55/500,0)*500))</f>
        <v/>
      </c>
      <c r="AH55" s="178" t="str">
        <f t="shared" ref="AH55:AH57" si="266">IF(Y55="","",IF(Y55=0,"",ROUNDUP(Y55/500,0)*500))</f>
        <v/>
      </c>
      <c r="AI55" s="178" t="str">
        <f t="shared" ref="AI55:AI57" si="267">IF(Z55="","",IF(Z55=0,"",ROUNDUP(Z55/500,0)*500))</f>
        <v/>
      </c>
      <c r="AJ55" s="178" t="str">
        <f t="shared" ref="AJ55:AJ57" si="268">IF(AA55="","",IF(AA55=0,"",ROUNDUP(AA55/500,0)*500))</f>
        <v/>
      </c>
      <c r="AK55" s="178" t="str">
        <f t="shared" ref="AK55:AK57" si="269">IF(AB55="","",IF(AB55=0,"",ROUNDUP(AB55/500,0)*500))</f>
        <v/>
      </c>
      <c r="AL55" s="178" t="str">
        <f t="shared" ref="AL55:AL57" si="270">IF(AC55="","",IF(AC55=0,"",ROUNDUP(AC55/500,0)*500))</f>
        <v/>
      </c>
      <c r="AM55" s="173">
        <f>SUM(AE55:AL55)</f>
        <v>0</v>
      </c>
      <c r="AN55" s="190">
        <f>F55</f>
        <v>0</v>
      </c>
    </row>
    <row r="56" spans="1:40" s="8" customFormat="1" ht="12.75" hidden="1" outlineLevel="1" x14ac:dyDescent="0.2">
      <c r="B56" s="7"/>
      <c r="C56" s="7"/>
      <c r="D56" s="7"/>
      <c r="E56" s="7"/>
      <c r="F56" s="9"/>
      <c r="G56" s="7"/>
      <c r="H56" s="9"/>
      <c r="I56" s="167"/>
      <c r="J56" s="164">
        <f>K56-I56</f>
        <v>0</v>
      </c>
      <c r="K56" s="165">
        <f>I56*1.19</f>
        <v>0</v>
      </c>
      <c r="L56" s="11"/>
      <c r="M56" s="11">
        <f>K56</f>
        <v>0</v>
      </c>
      <c r="N56" s="11">
        <f>M56*$N$5+M56</f>
        <v>0</v>
      </c>
      <c r="O56" s="11">
        <f>N56*$O$5+N56</f>
        <v>0</v>
      </c>
      <c r="P56" s="11">
        <f>O56*$P$5+O56</f>
        <v>0</v>
      </c>
      <c r="Q56" s="11">
        <f>P56*$Q$5+P56</f>
        <v>0</v>
      </c>
      <c r="R56" s="11">
        <f>Q56*$R$5+Q56</f>
        <v>0</v>
      </c>
      <c r="S56" s="11">
        <f>R56*$S$5+R56</f>
        <v>0</v>
      </c>
      <c r="T56" s="11">
        <f>S56*$T$5+S56</f>
        <v>0</v>
      </c>
      <c r="U56" s="188"/>
      <c r="V56" s="184"/>
      <c r="W56" s="13"/>
      <c r="X56" s="13"/>
      <c r="Y56" s="13"/>
      <c r="Z56" s="13"/>
      <c r="AA56" s="13"/>
      <c r="AB56" s="13"/>
      <c r="AC56" s="13"/>
      <c r="AD56" s="173">
        <f>SUM(V56:AC56)</f>
        <v>0</v>
      </c>
      <c r="AE56" s="178" t="str">
        <f t="shared" si="263"/>
        <v/>
      </c>
      <c r="AF56" s="178" t="str">
        <f t="shared" si="264"/>
        <v/>
      </c>
      <c r="AG56" s="178" t="str">
        <f t="shared" si="265"/>
        <v/>
      </c>
      <c r="AH56" s="178" t="str">
        <f t="shared" si="266"/>
        <v/>
      </c>
      <c r="AI56" s="178" t="str">
        <f t="shared" si="267"/>
        <v/>
      </c>
      <c r="AJ56" s="178" t="str">
        <f t="shared" si="268"/>
        <v/>
      </c>
      <c r="AK56" s="178" t="str">
        <f t="shared" si="269"/>
        <v/>
      </c>
      <c r="AL56" s="178" t="str">
        <f t="shared" si="270"/>
        <v/>
      </c>
      <c r="AM56" s="173">
        <f>SUM(AE56:AL56)</f>
        <v>0</v>
      </c>
      <c r="AN56" s="190">
        <f>F56</f>
        <v>0</v>
      </c>
    </row>
    <row r="57" spans="1:40" s="8" customFormat="1" ht="12.75" collapsed="1" x14ac:dyDescent="0.2">
      <c r="B57" s="7"/>
      <c r="C57" s="7"/>
      <c r="D57" s="7"/>
      <c r="E57" s="7"/>
      <c r="F57" s="9"/>
      <c r="G57" s="7"/>
      <c r="H57" s="9"/>
      <c r="I57" s="167"/>
      <c r="J57" s="164">
        <f>K57-I57</f>
        <v>0</v>
      </c>
      <c r="K57" s="165">
        <f>I57*1.19</f>
        <v>0</v>
      </c>
      <c r="L57" s="145"/>
      <c r="M57" s="11">
        <f>K57</f>
        <v>0</v>
      </c>
      <c r="N57" s="11">
        <f>M57*$N$5+M57</f>
        <v>0</v>
      </c>
      <c r="O57" s="11">
        <f>N57*$O$5+N57</f>
        <v>0</v>
      </c>
      <c r="P57" s="11">
        <f>O57*$P$5+O57</f>
        <v>0</v>
      </c>
      <c r="Q57" s="11">
        <f>P57*$Q$5+P57</f>
        <v>0</v>
      </c>
      <c r="R57" s="11">
        <f>Q57*$R$5+Q57</f>
        <v>0</v>
      </c>
      <c r="S57" s="11">
        <f>R57*$S$5+R57</f>
        <v>0</v>
      </c>
      <c r="T57" s="11">
        <f>S57*$T$5+S57</f>
        <v>0</v>
      </c>
      <c r="U57" s="188"/>
      <c r="V57" s="185"/>
      <c r="W57" s="175"/>
      <c r="X57" s="175"/>
      <c r="Y57" s="175"/>
      <c r="Z57" s="175"/>
      <c r="AA57" s="175"/>
      <c r="AB57" s="175"/>
      <c r="AC57" s="176"/>
      <c r="AD57" s="173">
        <f t="shared" ref="AD57:AD58" si="271">SUM(V57:AC57)</f>
        <v>0</v>
      </c>
      <c r="AE57" s="178" t="str">
        <f t="shared" si="263"/>
        <v/>
      </c>
      <c r="AF57" s="178" t="str">
        <f t="shared" si="264"/>
        <v/>
      </c>
      <c r="AG57" s="178" t="str">
        <f t="shared" si="265"/>
        <v/>
      </c>
      <c r="AH57" s="178" t="str">
        <f t="shared" si="266"/>
        <v/>
      </c>
      <c r="AI57" s="178" t="str">
        <f t="shared" si="267"/>
        <v/>
      </c>
      <c r="AJ57" s="178" t="str">
        <f t="shared" si="268"/>
        <v/>
      </c>
      <c r="AK57" s="178" t="str">
        <f t="shared" si="269"/>
        <v/>
      </c>
      <c r="AL57" s="178" t="str">
        <f t="shared" si="270"/>
        <v/>
      </c>
      <c r="AM57" s="173">
        <f t="shared" ref="AM57:AM58" si="272">SUM(AE57:AL57)</f>
        <v>0</v>
      </c>
      <c r="AN57" s="190">
        <f>F57</f>
        <v>0</v>
      </c>
    </row>
    <row r="58" spans="1:40" s="8" customFormat="1" ht="12.75" x14ac:dyDescent="0.2">
      <c r="B58" s="142"/>
      <c r="F58" s="144"/>
      <c r="H58" s="144"/>
      <c r="I58" s="162"/>
      <c r="J58" s="162"/>
      <c r="K58" s="168"/>
      <c r="L58" s="147"/>
      <c r="M58" s="145"/>
      <c r="N58" s="145"/>
      <c r="O58" s="145"/>
      <c r="P58" s="145"/>
      <c r="Q58" s="145"/>
      <c r="R58" s="145"/>
      <c r="S58" s="145"/>
      <c r="T58" s="147"/>
      <c r="U58" s="188"/>
      <c r="V58" s="147"/>
      <c r="W58" s="145"/>
      <c r="X58" s="145"/>
      <c r="Y58" s="145"/>
      <c r="Z58" s="145"/>
      <c r="AA58" s="147"/>
      <c r="AB58" s="147"/>
      <c r="AC58" s="146"/>
      <c r="AD58" s="173">
        <f t="shared" si="271"/>
        <v>0</v>
      </c>
      <c r="AE58" s="179"/>
      <c r="AF58" s="179"/>
      <c r="AG58" s="179"/>
      <c r="AH58" s="179"/>
      <c r="AI58" s="179"/>
      <c r="AJ58" s="180"/>
      <c r="AK58" s="180"/>
      <c r="AL58" s="181"/>
      <c r="AM58" s="173">
        <f t="shared" si="272"/>
        <v>0</v>
      </c>
      <c r="AN58" s="190">
        <f>F58</f>
        <v>0</v>
      </c>
    </row>
    <row r="59" spans="1:40" s="133" customFormat="1" ht="15" x14ac:dyDescent="0.25">
      <c r="B59" s="148" t="s">
        <v>16</v>
      </c>
      <c r="C59" s="148"/>
      <c r="D59" s="148"/>
      <c r="E59" s="148"/>
      <c r="F59" s="148"/>
      <c r="G59" s="148"/>
      <c r="H59" s="149"/>
      <c r="I59" s="169">
        <f t="shared" ref="I59:T59" si="273">SUM(I7:I58)/2</f>
        <v>528688.6847899158</v>
      </c>
      <c r="J59" s="169">
        <f t="shared" si="273"/>
        <v>100450.85011008402</v>
      </c>
      <c r="K59" s="170">
        <f t="shared" si="273"/>
        <v>629139.53490000009</v>
      </c>
      <c r="L59" s="150">
        <f t="shared" si="273"/>
        <v>0</v>
      </c>
      <c r="M59" s="150">
        <f t="shared" si="273"/>
        <v>629139.53490000009</v>
      </c>
      <c r="N59" s="150">
        <f t="shared" si="273"/>
        <v>660596.51164499996</v>
      </c>
      <c r="O59" s="150">
        <f t="shared" si="273"/>
        <v>693626.33722724998</v>
      </c>
      <c r="P59" s="150">
        <f t="shared" si="273"/>
        <v>728307.65408861253</v>
      </c>
      <c r="Q59" s="150">
        <f t="shared" si="273"/>
        <v>764723.03679304325</v>
      </c>
      <c r="R59" s="150">
        <f t="shared" si="273"/>
        <v>802959.18863269547</v>
      </c>
      <c r="S59" s="150">
        <f t="shared" si="273"/>
        <v>843107.14806433022</v>
      </c>
      <c r="T59" s="150">
        <f t="shared" si="273"/>
        <v>885262.50546754652</v>
      </c>
      <c r="U59" s="189"/>
      <c r="V59" s="150">
        <f t="shared" ref="V59:AC59" si="274">SUM(V7:V58)/2</f>
        <v>0</v>
      </c>
      <c r="W59" s="150">
        <f t="shared" si="274"/>
        <v>534051.38804500003</v>
      </c>
      <c r="X59" s="150">
        <f t="shared" si="274"/>
        <v>88098.858854999999</v>
      </c>
      <c r="Y59" s="150">
        <f t="shared" si="274"/>
        <v>42846.676346250002</v>
      </c>
      <c r="Z59" s="150">
        <f t="shared" si="274"/>
        <v>25312.91765625</v>
      </c>
      <c r="AA59" s="150">
        <f t="shared" si="274"/>
        <v>176937.29441718746</v>
      </c>
      <c r="AB59" s="150">
        <f t="shared" si="274"/>
        <v>11960.353592578125</v>
      </c>
      <c r="AC59" s="151">
        <f t="shared" si="274"/>
        <v>12558.371272207032</v>
      </c>
      <c r="AD59" s="174">
        <f>SUM(V59:AC59)</f>
        <v>891765.86018447252</v>
      </c>
      <c r="AE59" s="150">
        <f t="shared" ref="AE59:AL59" si="275">SUM(AE7:AE58)/2</f>
        <v>0</v>
      </c>
      <c r="AF59" s="150">
        <f t="shared" si="275"/>
        <v>538000</v>
      </c>
      <c r="AG59" s="150">
        <f t="shared" si="275"/>
        <v>89000</v>
      </c>
      <c r="AH59" s="150">
        <f t="shared" si="275"/>
        <v>43500</v>
      </c>
      <c r="AI59" s="150">
        <f t="shared" si="275"/>
        <v>25500</v>
      </c>
      <c r="AJ59" s="150">
        <f t="shared" si="275"/>
        <v>178500</v>
      </c>
      <c r="AK59" s="150">
        <f t="shared" si="275"/>
        <v>12000</v>
      </c>
      <c r="AL59" s="151">
        <f t="shared" si="275"/>
        <v>13000</v>
      </c>
      <c r="AM59" s="152">
        <f>SUM(AE59:AL59)</f>
        <v>899500</v>
      </c>
      <c r="AN59" s="152"/>
    </row>
    <row r="60" spans="1:40" x14ac:dyDescent="0.2">
      <c r="B60" s="153"/>
      <c r="U60" s="186"/>
    </row>
    <row r="62" spans="1:40" x14ac:dyDescent="0.2">
      <c r="B62" s="155"/>
    </row>
  </sheetData>
  <pageMargins left="0.7" right="0.7" top="0.78740157499999996" bottom="0.78740157499999996" header="0.3" footer="0.3"/>
  <pageSetup paperSize="8" scale="87" orientation="landscape" r:id="rId1"/>
  <colBreaks count="1" manualBreakCount="1">
    <brk id="20" max="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U44"/>
  <sheetViews>
    <sheetView showGridLines="0" zoomScaleNormal="100" zoomScaleSheetLayoutView="100" workbookViewId="0">
      <selection activeCell="B2" sqref="B2:R25"/>
    </sheetView>
  </sheetViews>
  <sheetFormatPr baseColWidth="10" defaultColWidth="11.42578125" defaultRowHeight="14.25" outlineLevelRow="1" outlineLevelCol="2" x14ac:dyDescent="0.2"/>
  <cols>
    <col min="1" max="1" width="2.28515625" style="2" customWidth="1"/>
    <col min="2" max="2" width="21" style="2" customWidth="1"/>
    <col min="3" max="3" width="6.85546875" style="2" customWidth="1"/>
    <col min="4" max="4" width="8.85546875" style="12" customWidth="1"/>
    <col min="5" max="5" width="15.7109375" style="2" customWidth="1"/>
    <col min="6" max="6" width="17.28515625" style="2" customWidth="1"/>
    <col min="7" max="7" width="15.7109375" style="2" hidden="1" customWidth="1" outlineLevel="1"/>
    <col min="8" max="8" width="11.7109375" style="2" hidden="1" customWidth="1" outlineLevel="2"/>
    <col min="9" max="9" width="31.42578125" style="125" hidden="1" customWidth="1" outlineLevel="1"/>
    <col min="10" max="10" width="14.28515625" style="2" customWidth="1" collapsed="1"/>
    <col min="11" max="11" width="11.7109375" style="2" customWidth="1" outlineLevel="1"/>
    <col min="12" max="12" width="27" style="125" bestFit="1" customWidth="1"/>
    <col min="13" max="13" width="14.28515625" style="2" customWidth="1"/>
    <col min="14" max="14" width="11.7109375" style="2" customWidth="1" outlineLevel="1"/>
    <col min="15" max="15" width="27.28515625" style="125" customWidth="1"/>
    <col min="16" max="16" width="16" style="2" customWidth="1"/>
    <col min="17" max="17" width="11.7109375" style="2" customWidth="1" outlineLevel="1"/>
    <col min="18" max="18" width="27.28515625" style="125" customWidth="1"/>
    <col min="19" max="19" width="3.140625" style="2" customWidth="1"/>
    <col min="20" max="20" width="11.42578125" style="2"/>
    <col min="21" max="21" width="19.140625" style="2" customWidth="1"/>
    <col min="22" max="16384" width="11.42578125" style="2"/>
  </cols>
  <sheetData>
    <row r="2" spans="2:18" ht="45" customHeight="1" x14ac:dyDescent="0.2">
      <c r="B2" s="6" t="s">
        <v>113</v>
      </c>
      <c r="C2" s="1"/>
      <c r="D2" s="1"/>
      <c r="E2" s="1"/>
      <c r="G2" s="5"/>
      <c r="H2" s="5"/>
      <c r="I2" s="22"/>
      <c r="J2" s="5"/>
      <c r="K2" s="5"/>
      <c r="L2" s="22"/>
      <c r="M2" s="5"/>
      <c r="N2" s="5"/>
      <c r="O2" s="22"/>
      <c r="P2" s="5"/>
      <c r="Q2" s="5"/>
      <c r="R2" s="22"/>
    </row>
    <row r="3" spans="2:18" ht="45" customHeight="1" x14ac:dyDescent="0.2">
      <c r="B3" s="6" t="s">
        <v>114</v>
      </c>
      <c r="C3" s="1"/>
      <c r="D3" s="1"/>
      <c r="E3" s="1"/>
      <c r="G3" s="5"/>
      <c r="H3" s="5"/>
      <c r="I3" s="22"/>
      <c r="J3" s="5"/>
      <c r="K3" s="5"/>
      <c r="L3" s="22"/>
      <c r="M3" s="5"/>
      <c r="N3" s="5"/>
      <c r="O3" s="22"/>
      <c r="P3" s="5"/>
      <c r="Q3" s="5"/>
      <c r="R3" s="22"/>
    </row>
    <row r="4" spans="2:18" s="24" customFormat="1" ht="21" hidden="1" customHeight="1" outlineLevel="1" x14ac:dyDescent="0.25">
      <c r="B4" s="23" t="s">
        <v>126</v>
      </c>
      <c r="C4" s="1"/>
      <c r="D4" s="1"/>
      <c r="E4" s="1"/>
      <c r="G4" s="25"/>
      <c r="H4" s="25"/>
      <c r="I4" s="26"/>
      <c r="J4" s="25"/>
      <c r="K4" s="25"/>
      <c r="L4" s="26"/>
      <c r="M4" s="25"/>
      <c r="N4" s="25"/>
      <c r="O4" s="26"/>
      <c r="P4" s="25"/>
      <c r="Q4" s="25"/>
      <c r="R4" s="26"/>
    </row>
    <row r="5" spans="2:18" s="24" customFormat="1" ht="17.45" hidden="1" customHeight="1" outlineLevel="1" x14ac:dyDescent="0.25">
      <c r="B5" s="27" t="s">
        <v>127</v>
      </c>
      <c r="C5" s="28"/>
      <c r="D5" s="29"/>
      <c r="E5" s="27"/>
      <c r="F5" s="30">
        <v>0</v>
      </c>
      <c r="G5" s="27" t="s">
        <v>61</v>
      </c>
      <c r="H5" s="31"/>
      <c r="I5" s="32"/>
      <c r="J5" s="193" t="s">
        <v>129</v>
      </c>
      <c r="K5" s="31"/>
      <c r="L5" s="32"/>
      <c r="M5" s="31"/>
      <c r="N5" s="31"/>
      <c r="O5" s="32"/>
      <c r="P5" s="31"/>
      <c r="Q5" s="31"/>
      <c r="R5" s="32"/>
    </row>
    <row r="6" spans="2:18" s="24" customFormat="1" ht="17.100000000000001" hidden="1" customHeight="1" outlineLevel="1" x14ac:dyDescent="0.25">
      <c r="B6" s="27" t="s">
        <v>128</v>
      </c>
      <c r="C6" s="28"/>
      <c r="D6" s="29"/>
      <c r="E6" s="33">
        <v>0</v>
      </c>
      <c r="F6" s="30">
        <f>F5+E6</f>
        <v>0</v>
      </c>
      <c r="G6" s="27"/>
      <c r="H6" s="31"/>
      <c r="I6" s="32"/>
      <c r="J6" s="31"/>
      <c r="K6" s="31"/>
      <c r="L6" s="32"/>
      <c r="M6" s="31"/>
      <c r="N6" s="31"/>
      <c r="O6" s="32"/>
      <c r="P6" s="31"/>
      <c r="Q6" s="31"/>
      <c r="R6" s="32"/>
    </row>
    <row r="7" spans="2:18" ht="23.45" customHeight="1" collapsed="1" x14ac:dyDescent="0.2">
      <c r="B7" s="3" t="s">
        <v>62</v>
      </c>
      <c r="C7" s="34"/>
      <c r="D7" s="35"/>
      <c r="E7" s="3"/>
      <c r="F7" s="36" t="s">
        <v>100</v>
      </c>
      <c r="G7" s="3" t="s">
        <v>63</v>
      </c>
      <c r="H7" s="37"/>
      <c r="I7" s="38"/>
      <c r="J7" s="37"/>
      <c r="K7" s="37"/>
      <c r="L7" s="38"/>
      <c r="M7" s="37"/>
      <c r="N7" s="37"/>
      <c r="O7" s="38"/>
      <c r="P7" s="37"/>
      <c r="Q7" s="37"/>
      <c r="R7" s="38"/>
    </row>
    <row r="8" spans="2:18" ht="14.25" hidden="1" customHeight="1" outlineLevel="1" x14ac:dyDescent="0.2">
      <c r="B8" s="39" t="s">
        <v>64</v>
      </c>
      <c r="C8" s="40"/>
      <c r="D8" s="41"/>
      <c r="E8" s="37"/>
      <c r="F8" s="42">
        <v>250</v>
      </c>
      <c r="G8" s="37" t="s">
        <v>65</v>
      </c>
      <c r="H8" s="37"/>
      <c r="I8" s="38"/>
      <c r="J8" s="37"/>
      <c r="K8" s="37"/>
      <c r="L8" s="38"/>
      <c r="M8" s="37"/>
      <c r="N8" s="37"/>
      <c r="O8" s="38"/>
      <c r="P8" s="37"/>
      <c r="Q8" s="37"/>
      <c r="R8" s="38"/>
    </row>
    <row r="9" spans="2:18" ht="14.25" hidden="1" customHeight="1" outlineLevel="1" x14ac:dyDescent="0.2">
      <c r="B9" s="39" t="s">
        <v>66</v>
      </c>
      <c r="C9" s="40"/>
      <c r="D9" s="41"/>
      <c r="E9" s="37"/>
      <c r="F9" s="42">
        <v>350</v>
      </c>
      <c r="G9" s="37" t="s">
        <v>67</v>
      </c>
      <c r="H9" s="37"/>
      <c r="I9" s="38"/>
      <c r="J9" s="37"/>
      <c r="K9" s="37"/>
      <c r="L9" s="38"/>
      <c r="M9" s="37"/>
      <c r="N9" s="37"/>
      <c r="O9" s="38"/>
      <c r="P9" s="37"/>
      <c r="Q9" s="37"/>
      <c r="R9" s="38"/>
    </row>
    <row r="10" spans="2:18" ht="14.25" customHeight="1" collapsed="1" x14ac:dyDescent="0.2">
      <c r="B10" s="39" t="s">
        <v>68</v>
      </c>
      <c r="C10" s="40"/>
      <c r="D10" s="41"/>
      <c r="E10" s="37"/>
      <c r="F10" s="43">
        <v>175</v>
      </c>
      <c r="G10" s="37" t="s">
        <v>69</v>
      </c>
      <c r="H10" s="37"/>
      <c r="I10" s="38"/>
      <c r="J10" s="37"/>
      <c r="K10" s="37"/>
      <c r="L10" s="38"/>
      <c r="M10" s="37"/>
      <c r="N10" s="37"/>
      <c r="O10" s="38"/>
      <c r="P10" s="37"/>
      <c r="Q10" s="37"/>
      <c r="R10" s="38"/>
    </row>
    <row r="11" spans="2:18" x14ac:dyDescent="0.2">
      <c r="B11" s="39" t="s">
        <v>98</v>
      </c>
      <c r="C11" s="37"/>
      <c r="D11" s="41"/>
      <c r="E11" s="37"/>
      <c r="F11" s="42">
        <v>500</v>
      </c>
      <c r="G11" s="37" t="s">
        <v>70</v>
      </c>
      <c r="H11" s="37"/>
      <c r="I11" s="38"/>
      <c r="J11" s="37"/>
      <c r="K11" s="37"/>
      <c r="L11" s="38"/>
      <c r="M11" s="37"/>
      <c r="N11" s="37"/>
      <c r="O11" s="38"/>
      <c r="P11" s="37"/>
      <c r="Q11" s="37"/>
      <c r="R11" s="38"/>
    </row>
    <row r="12" spans="2:18" hidden="1" outlineLevel="1" x14ac:dyDescent="0.2">
      <c r="B12" s="39" t="s">
        <v>73</v>
      </c>
      <c r="C12" s="37"/>
      <c r="D12" s="41"/>
      <c r="E12" s="37"/>
      <c r="F12" s="42">
        <v>1600</v>
      </c>
      <c r="G12" s="37" t="s">
        <v>72</v>
      </c>
      <c r="H12" s="37"/>
      <c r="I12" s="38"/>
      <c r="J12" s="37"/>
      <c r="K12" s="37"/>
      <c r="L12" s="38"/>
      <c r="M12" s="37"/>
      <c r="N12" s="37"/>
      <c r="O12" s="38"/>
      <c r="P12" s="37"/>
      <c r="Q12" s="37"/>
      <c r="R12" s="38"/>
    </row>
    <row r="13" spans="2:18" hidden="1" outlineLevel="1" x14ac:dyDescent="0.2">
      <c r="B13" s="39" t="s">
        <v>71</v>
      </c>
      <c r="C13" s="37"/>
      <c r="D13" s="41"/>
      <c r="E13" s="37"/>
      <c r="F13" s="42">
        <v>2000</v>
      </c>
      <c r="G13" s="37" t="s">
        <v>72</v>
      </c>
      <c r="H13" s="37"/>
      <c r="I13" s="38"/>
      <c r="J13" s="37"/>
      <c r="K13" s="37"/>
      <c r="L13" s="38"/>
      <c r="M13" s="37"/>
      <c r="N13" s="37"/>
      <c r="O13" s="38"/>
      <c r="P13" s="37"/>
      <c r="Q13" s="37"/>
      <c r="R13" s="38"/>
    </row>
    <row r="14" spans="2:18" hidden="1" outlineLevel="1" x14ac:dyDescent="0.2">
      <c r="B14" s="39" t="s">
        <v>74</v>
      </c>
      <c r="C14" s="37"/>
      <c r="D14" s="41"/>
      <c r="E14" s="37"/>
      <c r="F14" s="44">
        <v>1.25</v>
      </c>
      <c r="G14" s="37" t="s">
        <v>75</v>
      </c>
      <c r="H14" s="37"/>
      <c r="I14" s="38"/>
      <c r="J14" s="37"/>
      <c r="K14" s="37"/>
      <c r="L14" s="38"/>
      <c r="M14" s="37"/>
      <c r="N14" s="37"/>
      <c r="O14" s="38"/>
      <c r="P14" s="37"/>
      <c r="Q14" s="37"/>
      <c r="R14" s="38"/>
    </row>
    <row r="15" spans="2:18" collapsed="1" x14ac:dyDescent="0.2"/>
    <row r="16" spans="2:18" s="46" customFormat="1" ht="30" customHeight="1" thickBot="1" x14ac:dyDescent="0.25">
      <c r="B16" s="45" t="s">
        <v>76</v>
      </c>
      <c r="D16" s="47" t="s">
        <v>77</v>
      </c>
      <c r="E16" s="47" t="s">
        <v>78</v>
      </c>
      <c r="F16" s="47"/>
      <c r="G16" s="196" t="s">
        <v>79</v>
      </c>
      <c r="H16" s="196"/>
      <c r="I16" s="196"/>
      <c r="J16" s="196" t="s">
        <v>80</v>
      </c>
      <c r="K16" s="196"/>
      <c r="L16" s="196"/>
      <c r="M16" s="196" t="s">
        <v>135</v>
      </c>
      <c r="N16" s="196"/>
      <c r="O16" s="196"/>
      <c r="P16" s="197" t="s">
        <v>81</v>
      </c>
      <c r="Q16" s="197"/>
      <c r="R16" s="197"/>
    </row>
    <row r="17" spans="2:21" s="37" customFormat="1" ht="18" customHeight="1" x14ac:dyDescent="0.2">
      <c r="B17" s="48"/>
      <c r="C17" s="49"/>
      <c r="D17" s="50" t="s">
        <v>82</v>
      </c>
      <c r="E17" s="51" t="s">
        <v>83</v>
      </c>
      <c r="F17" s="52" t="s">
        <v>84</v>
      </c>
      <c r="G17" s="53" t="s">
        <v>85</v>
      </c>
      <c r="H17" s="54" t="s">
        <v>86</v>
      </c>
      <c r="I17" s="55" t="s">
        <v>63</v>
      </c>
      <c r="J17" s="53" t="s">
        <v>85</v>
      </c>
      <c r="K17" s="54" t="s">
        <v>86</v>
      </c>
      <c r="L17" s="55" t="s">
        <v>63</v>
      </c>
      <c r="M17" s="53" t="s">
        <v>85</v>
      </c>
      <c r="N17" s="54" t="s">
        <v>86</v>
      </c>
      <c r="O17" s="55" t="s">
        <v>63</v>
      </c>
      <c r="P17" s="53" t="s">
        <v>85</v>
      </c>
      <c r="Q17" s="54" t="s">
        <v>86</v>
      </c>
      <c r="R17" s="202" t="s">
        <v>144</v>
      </c>
    </row>
    <row r="18" spans="2:21" s="37" customFormat="1" ht="12.75" x14ac:dyDescent="0.2">
      <c r="B18" s="56" t="s">
        <v>118</v>
      </c>
      <c r="C18" s="57"/>
      <c r="D18" s="58">
        <v>8.1999999999999993</v>
      </c>
      <c r="E18" s="59">
        <v>188</v>
      </c>
      <c r="F18" s="60">
        <f>G18+J18+M18+P18</f>
        <v>115803.57142857143</v>
      </c>
      <c r="G18" s="61">
        <f>H18*$F$8</f>
        <v>0</v>
      </c>
      <c r="H18" s="62"/>
      <c r="I18" s="63" t="s">
        <v>99</v>
      </c>
      <c r="J18" s="61">
        <f>K18*$F$10</f>
        <v>4375</v>
      </c>
      <c r="K18" s="62">
        <v>25</v>
      </c>
      <c r="L18" s="194" t="s">
        <v>101</v>
      </c>
      <c r="M18" s="61">
        <f>N18*$F$11</f>
        <v>40000</v>
      </c>
      <c r="N18" s="62">
        <v>80</v>
      </c>
      <c r="O18" s="194" t="s">
        <v>132</v>
      </c>
      <c r="P18" s="61">
        <f>85000/119*100</f>
        <v>71428.571428571435</v>
      </c>
      <c r="Q18" s="62">
        <v>50</v>
      </c>
      <c r="R18" s="203" t="s">
        <v>145</v>
      </c>
      <c r="U18" s="64"/>
    </row>
    <row r="19" spans="2:21" s="37" customFormat="1" ht="12.75" x14ac:dyDescent="0.2">
      <c r="B19" s="56" t="s">
        <v>119</v>
      </c>
      <c r="C19" s="65"/>
      <c r="D19" s="58">
        <v>6.22</v>
      </c>
      <c r="E19" s="59">
        <v>118</v>
      </c>
      <c r="F19" s="60">
        <f>G19+J19+M19+P19</f>
        <v>73079.831932773115</v>
      </c>
      <c r="G19" s="61">
        <f>F5*H19</f>
        <v>0</v>
      </c>
      <c r="H19" s="66"/>
      <c r="I19" s="63" t="s">
        <v>99</v>
      </c>
      <c r="J19" s="61">
        <f t="shared" ref="J19:J20" si="0">K19*$F$10</f>
        <v>3500</v>
      </c>
      <c r="K19" s="66">
        <v>20</v>
      </c>
      <c r="L19" s="194" t="s">
        <v>130</v>
      </c>
      <c r="M19" s="61">
        <f t="shared" ref="M19" si="1">N19*$F$11</f>
        <v>20000</v>
      </c>
      <c r="N19" s="66">
        <v>40</v>
      </c>
      <c r="O19" s="194" t="s">
        <v>133</v>
      </c>
      <c r="P19" s="61">
        <f>59000/119*100</f>
        <v>49579.831932773108</v>
      </c>
      <c r="Q19" s="66">
        <v>30</v>
      </c>
      <c r="R19" s="203" t="s">
        <v>146</v>
      </c>
    </row>
    <row r="20" spans="2:21" s="37" customFormat="1" ht="12.75" x14ac:dyDescent="0.2">
      <c r="B20" s="56" t="s">
        <v>120</v>
      </c>
      <c r="C20" s="57"/>
      <c r="D20" s="58">
        <v>4.32</v>
      </c>
      <c r="E20" s="59">
        <v>124</v>
      </c>
      <c r="F20" s="60">
        <f t="shared" ref="F20" si="2">G20+J20+M20+P20</f>
        <v>73878.151260504208</v>
      </c>
      <c r="G20" s="67">
        <f>H20*F5*F11</f>
        <v>0</v>
      </c>
      <c r="H20" s="66"/>
      <c r="I20" s="63" t="s">
        <v>99</v>
      </c>
      <c r="J20" s="61">
        <f t="shared" si="0"/>
        <v>3500</v>
      </c>
      <c r="K20" s="66">
        <v>20</v>
      </c>
      <c r="L20" s="194" t="s">
        <v>130</v>
      </c>
      <c r="M20" s="61">
        <f>N20*$F$11*$F$14</f>
        <v>25000</v>
      </c>
      <c r="N20" s="66">
        <v>40</v>
      </c>
      <c r="O20" s="194" t="s">
        <v>133</v>
      </c>
      <c r="P20" s="61">
        <f>54000/119*100</f>
        <v>45378.151260504201</v>
      </c>
      <c r="Q20" s="66">
        <v>30</v>
      </c>
      <c r="R20" s="203" t="s">
        <v>146</v>
      </c>
    </row>
    <row r="21" spans="2:21" s="37" customFormat="1" ht="12.75" x14ac:dyDescent="0.2">
      <c r="B21" s="56" t="s">
        <v>115</v>
      </c>
      <c r="C21" s="57"/>
      <c r="D21" s="58">
        <v>2.63</v>
      </c>
      <c r="E21" s="59">
        <v>65</v>
      </c>
      <c r="F21" s="60">
        <f>G21+J21+M21+P21</f>
        <v>38675.420168067227</v>
      </c>
      <c r="G21" s="61">
        <f>H21*$F$8</f>
        <v>0</v>
      </c>
      <c r="H21" s="62"/>
      <c r="I21" s="63" t="s">
        <v>99</v>
      </c>
      <c r="J21" s="61">
        <f>K21*$F$10</f>
        <v>2625</v>
      </c>
      <c r="K21" s="62">
        <v>15</v>
      </c>
      <c r="L21" s="194" t="s">
        <v>131</v>
      </c>
      <c r="M21" s="61">
        <f>N21*$F$11</f>
        <v>10000</v>
      </c>
      <c r="N21" s="62">
        <v>20</v>
      </c>
      <c r="O21" s="194" t="s">
        <v>134</v>
      </c>
      <c r="P21" s="61">
        <f>31000/119*100</f>
        <v>26050.420168067227</v>
      </c>
      <c r="Q21" s="62">
        <v>20</v>
      </c>
      <c r="R21" s="203" t="s">
        <v>147</v>
      </c>
      <c r="U21" s="64"/>
    </row>
    <row r="22" spans="2:21" s="37" customFormat="1" ht="12.75" x14ac:dyDescent="0.2">
      <c r="B22" s="56"/>
      <c r="C22" s="65"/>
      <c r="D22" s="58"/>
      <c r="E22" s="59"/>
      <c r="F22" s="60">
        <f>G22+J22+M22+P22</f>
        <v>0</v>
      </c>
      <c r="G22" s="61">
        <f>F8*H22</f>
        <v>0</v>
      </c>
      <c r="H22" s="66"/>
      <c r="I22" s="63"/>
      <c r="J22" s="61">
        <f t="shared" ref="J22:J23" si="3">K22*$F$10</f>
        <v>0</v>
      </c>
      <c r="K22" s="66"/>
      <c r="L22" s="63"/>
      <c r="M22" s="61">
        <f t="shared" ref="M22" si="4">N22*$F$11</f>
        <v>0</v>
      </c>
      <c r="N22" s="66"/>
      <c r="O22" s="63"/>
      <c r="P22" s="61">
        <f>Q22*$F$12</f>
        <v>0</v>
      </c>
      <c r="Q22" s="66"/>
      <c r="R22" s="63"/>
    </row>
    <row r="23" spans="2:21" s="37" customFormat="1" ht="13.5" thickBot="1" x14ac:dyDescent="0.25">
      <c r="B23" s="56"/>
      <c r="C23" s="57"/>
      <c r="D23" s="58"/>
      <c r="E23" s="59"/>
      <c r="F23" s="60">
        <f t="shared" ref="F23" si="5">G23+J23+M23+P23</f>
        <v>0</v>
      </c>
      <c r="G23" s="67">
        <f>H23*F8*F14</f>
        <v>0</v>
      </c>
      <c r="H23" s="66"/>
      <c r="I23" s="63"/>
      <c r="J23" s="61">
        <f t="shared" si="3"/>
        <v>0</v>
      </c>
      <c r="K23" s="66"/>
      <c r="L23" s="63"/>
      <c r="M23" s="61">
        <f>N23*$F$11*$F$14</f>
        <v>0</v>
      </c>
      <c r="N23" s="66"/>
      <c r="O23" s="63"/>
      <c r="P23" s="61">
        <f>Q23*$F$13</f>
        <v>0</v>
      </c>
      <c r="Q23" s="66"/>
      <c r="R23" s="63"/>
    </row>
    <row r="24" spans="2:21" s="3" customFormat="1" ht="13.5" thickBot="1" x14ac:dyDescent="0.25">
      <c r="B24" s="68" t="s">
        <v>87</v>
      </c>
      <c r="C24" s="69"/>
      <c r="D24" s="70"/>
      <c r="E24" s="71"/>
      <c r="F24" s="72">
        <f>SUM(F18:F23)</f>
        <v>301436.97478991596</v>
      </c>
      <c r="G24" s="73">
        <f>SUM(G18:G23)</f>
        <v>0</v>
      </c>
      <c r="H24" s="74">
        <f>SUM(H18:H23)</f>
        <v>0</v>
      </c>
      <c r="I24" s="75"/>
      <c r="J24" s="73">
        <f>SUM(J18:J23)</f>
        <v>14000</v>
      </c>
      <c r="K24" s="74">
        <f>SUM(K18:K23)</f>
        <v>80</v>
      </c>
      <c r="L24" s="75"/>
      <c r="M24" s="73">
        <f>SUM(M18:M23)</f>
        <v>95000</v>
      </c>
      <c r="N24" s="74">
        <f>SUM(N18:N23)</f>
        <v>180</v>
      </c>
      <c r="O24" s="75"/>
      <c r="P24" s="73">
        <f>SUM(P18:P23)</f>
        <v>192436.97478991596</v>
      </c>
      <c r="Q24" s="74">
        <f>SUM(Q18:Q23)</f>
        <v>130</v>
      </c>
      <c r="R24" s="75"/>
    </row>
    <row r="25" spans="2:21" s="37" customFormat="1" ht="12.75" x14ac:dyDescent="0.2">
      <c r="B25" s="76"/>
      <c r="C25" s="77"/>
      <c r="D25" s="78"/>
      <c r="E25" s="79"/>
      <c r="F25" s="80"/>
      <c r="G25" s="80"/>
      <c r="H25" s="81"/>
      <c r="I25" s="82"/>
      <c r="J25" s="80"/>
      <c r="K25" s="81"/>
      <c r="L25" s="82"/>
      <c r="M25" s="80"/>
      <c r="N25" s="81"/>
      <c r="O25" s="82"/>
      <c r="P25" s="80"/>
      <c r="Q25" s="81"/>
      <c r="R25" s="82"/>
    </row>
    <row r="26" spans="2:21" s="37" customFormat="1" x14ac:dyDescent="0.2">
      <c r="B26" s="2" t="s">
        <v>140</v>
      </c>
      <c r="C26" s="77"/>
      <c r="D26" s="78"/>
      <c r="E26" s="79"/>
      <c r="F26" s="80"/>
      <c r="G26" s="80"/>
      <c r="H26" s="81"/>
      <c r="I26" s="82"/>
      <c r="J26" s="80"/>
      <c r="K26" s="81"/>
      <c r="L26" s="82"/>
      <c r="M26" s="80"/>
      <c r="N26" s="81"/>
      <c r="O26" s="82"/>
      <c r="P26" s="80"/>
      <c r="Q26" s="81"/>
      <c r="R26" s="82"/>
    </row>
    <row r="27" spans="2:21" s="37" customFormat="1" ht="12.75" hidden="1" outlineLevel="1" x14ac:dyDescent="0.2">
      <c r="B27" s="76" t="s">
        <v>88</v>
      </c>
      <c r="C27" s="77"/>
      <c r="D27" s="78"/>
      <c r="E27" s="79"/>
      <c r="F27" s="80"/>
      <c r="G27" s="10">
        <f>30*17</f>
        <v>510</v>
      </c>
      <c r="H27" s="81"/>
      <c r="I27" s="83" t="s">
        <v>89</v>
      </c>
      <c r="J27" s="10">
        <f>50*17</f>
        <v>850</v>
      </c>
      <c r="K27" s="81"/>
      <c r="L27" s="83" t="s">
        <v>89</v>
      </c>
      <c r="M27" s="10">
        <f>50*17</f>
        <v>850</v>
      </c>
      <c r="N27" s="81"/>
      <c r="O27" s="83" t="s">
        <v>89</v>
      </c>
      <c r="P27" s="10">
        <f>40*20</f>
        <v>800</v>
      </c>
      <c r="Q27" s="81"/>
      <c r="R27" s="83" t="s">
        <v>90</v>
      </c>
    </row>
    <row r="28" spans="2:21" s="37" customFormat="1" ht="12.75" hidden="1" outlineLevel="1" x14ac:dyDescent="0.2">
      <c r="B28" s="76" t="s">
        <v>91</v>
      </c>
      <c r="C28" s="77"/>
      <c r="D28" s="78"/>
      <c r="E28" s="79"/>
      <c r="F28" s="80"/>
      <c r="G28" s="10">
        <v>300</v>
      </c>
      <c r="H28" s="81"/>
      <c r="I28" s="83" t="s">
        <v>92</v>
      </c>
      <c r="J28" s="80">
        <v>0</v>
      </c>
      <c r="K28" s="81"/>
      <c r="L28" s="83" t="s">
        <v>93</v>
      </c>
      <c r="M28" s="10">
        <f>12000/60+300</f>
        <v>500</v>
      </c>
      <c r="N28" s="81"/>
      <c r="O28" s="83" t="s">
        <v>92</v>
      </c>
      <c r="P28" s="10">
        <v>0</v>
      </c>
      <c r="Q28" s="81"/>
      <c r="R28" s="83" t="s">
        <v>93</v>
      </c>
    </row>
    <row r="29" spans="2:21" s="37" customFormat="1" ht="12.75" collapsed="1" x14ac:dyDescent="0.2">
      <c r="B29" s="76" t="s">
        <v>94</v>
      </c>
      <c r="C29" s="77"/>
      <c r="D29" s="78"/>
      <c r="E29" s="79"/>
      <c r="F29" s="80">
        <f>G29+J29+M29+P29</f>
        <v>325000</v>
      </c>
      <c r="G29" s="80">
        <f>H24*G27</f>
        <v>0</v>
      </c>
      <c r="H29" s="81"/>
      <c r="I29" s="83" t="str">
        <f>I27</f>
        <v>17 Jahre Mahd, Räumen, Rückbau</v>
      </c>
      <c r="J29" s="80">
        <f>K24*J27</f>
        <v>68000</v>
      </c>
      <c r="K29" s="81"/>
      <c r="L29" s="83" t="str">
        <f>L27</f>
        <v>17 Jahre Mahd, Räumen, Rückbau</v>
      </c>
      <c r="M29" s="80">
        <f>N24*M27</f>
        <v>153000</v>
      </c>
      <c r="N29" s="81"/>
      <c r="O29" s="83" t="str">
        <f>O27</f>
        <v>17 Jahre Mahd, Räumen, Rückbau</v>
      </c>
      <c r="P29" s="80">
        <f>Q24*P27</f>
        <v>104000</v>
      </c>
      <c r="Q29" s="81"/>
      <c r="R29" s="83" t="str">
        <f>R27</f>
        <v>20 Jahre Räumen, Säubern, Endbeisetzung</v>
      </c>
    </row>
    <row r="30" spans="2:21" s="37" customFormat="1" ht="12.75" x14ac:dyDescent="0.2">
      <c r="B30" s="76" t="s">
        <v>95</v>
      </c>
      <c r="C30" s="84"/>
      <c r="D30" s="85"/>
      <c r="E30" s="84"/>
      <c r="F30" s="80">
        <f>G30+J30+M30+P30</f>
        <v>90000</v>
      </c>
      <c r="G30" s="80">
        <f>G28*H24</f>
        <v>0</v>
      </c>
      <c r="H30" s="80"/>
      <c r="I30" s="82"/>
      <c r="J30" s="80">
        <f>J28*K24</f>
        <v>0</v>
      </c>
      <c r="K30" s="80"/>
      <c r="L30" s="82"/>
      <c r="M30" s="80">
        <f>M28*N24</f>
        <v>90000</v>
      </c>
      <c r="N30" s="80"/>
      <c r="O30" s="82"/>
      <c r="P30" s="80">
        <f>P28*Q24</f>
        <v>0</v>
      </c>
      <c r="Q30" s="80"/>
      <c r="R30" s="82"/>
    </row>
    <row r="31" spans="2:21" s="84" customFormat="1" ht="12.75" x14ac:dyDescent="0.2">
      <c r="C31" s="86"/>
      <c r="D31" s="87"/>
      <c r="E31" s="86"/>
      <c r="F31" s="80"/>
      <c r="G31" s="80"/>
      <c r="H31" s="80"/>
      <c r="I31" s="82"/>
      <c r="J31" s="80"/>
      <c r="K31" s="80"/>
      <c r="L31" s="82"/>
      <c r="M31" s="80"/>
      <c r="N31" s="80"/>
      <c r="O31" s="82"/>
      <c r="P31" s="80"/>
      <c r="Q31" s="80"/>
      <c r="R31" s="82"/>
    </row>
    <row r="32" spans="2:21" s="3" customFormat="1" ht="12.75" x14ac:dyDescent="0.2">
      <c r="B32" s="88" t="s">
        <v>3</v>
      </c>
      <c r="C32" s="89"/>
      <c r="D32" s="89"/>
      <c r="E32" s="89"/>
      <c r="F32" s="90">
        <f>SUM(F21:F23)+F29+F30</f>
        <v>453675.42016806721</v>
      </c>
      <c r="G32" s="91">
        <f>SUM(G21:G23)+G29+G30</f>
        <v>0</v>
      </c>
      <c r="H32" s="91"/>
      <c r="I32" s="92"/>
      <c r="J32" s="91">
        <f>SUM(J21:J23)+J29+J30</f>
        <v>70625</v>
      </c>
      <c r="K32" s="91"/>
      <c r="L32" s="92"/>
      <c r="M32" s="91">
        <f>SUM(M21:M23)+M29+M30</f>
        <v>253000</v>
      </c>
      <c r="N32" s="91"/>
      <c r="O32" s="93"/>
      <c r="P32" s="91">
        <f>SUM(P21:P23)+P29+P30</f>
        <v>130050.42016806723</v>
      </c>
      <c r="Q32" s="91"/>
      <c r="R32" s="93"/>
      <c r="U32" s="94">
        <f>SUM(G32:T32)</f>
        <v>453675.42016806721</v>
      </c>
    </row>
    <row r="33" spans="2:21" s="37" customFormat="1" ht="12.75" x14ac:dyDescent="0.2">
      <c r="B33" s="95" t="s">
        <v>1</v>
      </c>
      <c r="C33" s="96">
        <v>0.19</v>
      </c>
      <c r="D33" s="96"/>
      <c r="E33" s="96"/>
      <c r="F33" s="97">
        <f>F32*C33</f>
        <v>86198.329831932773</v>
      </c>
      <c r="G33" s="98">
        <f>G32*$C$33</f>
        <v>0</v>
      </c>
      <c r="H33" s="98"/>
      <c r="I33" s="99"/>
      <c r="J33" s="98">
        <f>J32*$C$33</f>
        <v>13418.75</v>
      </c>
      <c r="K33" s="98"/>
      <c r="L33" s="99"/>
      <c r="M33" s="98">
        <f>M32*$C$33</f>
        <v>48070</v>
      </c>
      <c r="N33" s="98"/>
      <c r="O33" s="100"/>
      <c r="P33" s="98">
        <f>P32*$C$33</f>
        <v>24709.579831932773</v>
      </c>
      <c r="Q33" s="98"/>
      <c r="R33" s="100"/>
      <c r="U33" s="94">
        <f t="shared" ref="U33:U35" si="6">SUM(G33:T33)</f>
        <v>86198.329831932773</v>
      </c>
    </row>
    <row r="34" spans="2:21" s="37" customFormat="1" ht="12.75" x14ac:dyDescent="0.2">
      <c r="B34" s="101" t="s">
        <v>4</v>
      </c>
      <c r="C34" s="102"/>
      <c r="D34" s="102"/>
      <c r="E34" s="102"/>
      <c r="F34" s="103">
        <f>SUM(F32:F33)</f>
        <v>539873.75</v>
      </c>
      <c r="G34" s="104">
        <f>SUM(G32:G33)</f>
        <v>0</v>
      </c>
      <c r="H34" s="104"/>
      <c r="I34" s="105"/>
      <c r="J34" s="104">
        <f>SUM(J32:J33)</f>
        <v>84043.75</v>
      </c>
      <c r="K34" s="104"/>
      <c r="L34" s="105"/>
      <c r="M34" s="104">
        <f>SUM(M32:M33)</f>
        <v>301070</v>
      </c>
      <c r="N34" s="104"/>
      <c r="O34" s="106"/>
      <c r="P34" s="104">
        <f>SUM(P32:P33)</f>
        <v>154760</v>
      </c>
      <c r="Q34" s="104"/>
      <c r="R34" s="106"/>
      <c r="U34" s="94">
        <f t="shared" si="6"/>
        <v>539873.75</v>
      </c>
    </row>
    <row r="35" spans="2:21" s="37" customFormat="1" ht="15.75" customHeight="1" x14ac:dyDescent="0.2">
      <c r="B35" s="107" t="s">
        <v>2</v>
      </c>
      <c r="C35" s="108"/>
      <c r="D35" s="108"/>
      <c r="E35" s="108"/>
      <c r="F35" s="109">
        <f>F34/F34</f>
        <v>1</v>
      </c>
      <c r="G35" s="110">
        <f>G34/$F$34</f>
        <v>0</v>
      </c>
      <c r="H35" s="110"/>
      <c r="I35" s="111"/>
      <c r="J35" s="110">
        <f>J34/$F$34</f>
        <v>0.15567296983785561</v>
      </c>
      <c r="K35" s="110"/>
      <c r="L35" s="111"/>
      <c r="M35" s="110">
        <f>M34/$F$34</f>
        <v>0.55766741761384031</v>
      </c>
      <c r="N35" s="110"/>
      <c r="O35" s="112"/>
      <c r="P35" s="110">
        <f>P34/$F$34</f>
        <v>0.28665961254830413</v>
      </c>
      <c r="Q35" s="110"/>
      <c r="R35" s="112"/>
      <c r="U35" s="113">
        <f t="shared" si="6"/>
        <v>1</v>
      </c>
    </row>
    <row r="36" spans="2:21" s="46" customFormat="1" ht="29.25" hidden="1" customHeight="1" outlineLevel="1" x14ac:dyDescent="0.2">
      <c r="B36" s="114" t="s">
        <v>96</v>
      </c>
      <c r="C36" s="115">
        <v>1.1000000000000001</v>
      </c>
      <c r="D36" s="115"/>
      <c r="E36" s="115"/>
      <c r="F36" s="116">
        <f>F34*C36</f>
        <v>593861.125</v>
      </c>
      <c r="G36" s="117">
        <f>$G$34*C36</f>
        <v>0</v>
      </c>
      <c r="H36" s="117"/>
      <c r="I36" s="118"/>
      <c r="J36" s="117">
        <f>$J$34*C36</f>
        <v>92448.125000000015</v>
      </c>
      <c r="K36" s="117"/>
      <c r="L36" s="118"/>
      <c r="M36" s="117">
        <f>$M$34*C36</f>
        <v>331177</v>
      </c>
      <c r="N36" s="117"/>
      <c r="O36" s="118"/>
      <c r="P36" s="117">
        <f>$M$34*F36</f>
        <v>178793768903.75</v>
      </c>
      <c r="Q36" s="117"/>
      <c r="R36" s="118"/>
    </row>
    <row r="37" spans="2:21" s="46" customFormat="1" ht="18.75" hidden="1" customHeight="1" outlineLevel="1" x14ac:dyDescent="0.2">
      <c r="B37" s="114"/>
      <c r="C37" s="115">
        <v>1.1499999999999999</v>
      </c>
      <c r="D37" s="115"/>
      <c r="E37" s="115"/>
      <c r="F37" s="116">
        <f>$F$34*C37</f>
        <v>620854.8125</v>
      </c>
      <c r="G37" s="117">
        <f t="shared" ref="G37:G39" si="7">$G$34*C37</f>
        <v>0</v>
      </c>
      <c r="H37" s="117"/>
      <c r="I37" s="118"/>
      <c r="J37" s="117">
        <f t="shared" ref="J37:J39" si="8">$J$34*C37</f>
        <v>96650.312499999985</v>
      </c>
      <c r="K37" s="117"/>
      <c r="L37" s="118"/>
      <c r="M37" s="117">
        <f>$M$34*C37</f>
        <v>346230.5</v>
      </c>
      <c r="N37" s="117"/>
      <c r="O37" s="118"/>
      <c r="P37" s="117">
        <f>$M$34*F37</f>
        <v>186920758399.375</v>
      </c>
      <c r="Q37" s="117"/>
      <c r="R37" s="118"/>
    </row>
    <row r="38" spans="2:21" s="46" customFormat="1" ht="18.75" hidden="1" customHeight="1" outlineLevel="1" x14ac:dyDescent="0.2">
      <c r="B38" s="114"/>
      <c r="C38" s="115">
        <v>1.2</v>
      </c>
      <c r="D38" s="115"/>
      <c r="E38" s="115"/>
      <c r="F38" s="116">
        <f t="shared" ref="F38:F39" si="9">$F$34*C38</f>
        <v>647848.5</v>
      </c>
      <c r="G38" s="119">
        <f t="shared" si="7"/>
        <v>0</v>
      </c>
      <c r="H38" s="119"/>
      <c r="I38" s="120"/>
      <c r="J38" s="119">
        <f t="shared" si="8"/>
        <v>100852.5</v>
      </c>
      <c r="K38" s="119"/>
      <c r="L38" s="120"/>
      <c r="M38" s="119">
        <f t="shared" ref="M38:M39" si="10">$M$34*C38</f>
        <v>361284</v>
      </c>
      <c r="N38" s="119"/>
      <c r="O38" s="120"/>
      <c r="P38" s="119">
        <f t="shared" ref="P38:P39" si="11">$M$34*F38</f>
        <v>195047747895</v>
      </c>
      <c r="Q38" s="119"/>
      <c r="R38" s="120"/>
    </row>
    <row r="39" spans="2:21" s="46" customFormat="1" ht="18.75" hidden="1" customHeight="1" outlineLevel="1" x14ac:dyDescent="0.2">
      <c r="B39" s="121"/>
      <c r="C39" s="122">
        <v>1.25</v>
      </c>
      <c r="D39" s="122"/>
      <c r="E39" s="122"/>
      <c r="F39" s="123">
        <f t="shared" si="9"/>
        <v>674842.1875</v>
      </c>
      <c r="G39" s="119">
        <f t="shared" si="7"/>
        <v>0</v>
      </c>
      <c r="H39" s="119"/>
      <c r="I39" s="120"/>
      <c r="J39" s="119">
        <f t="shared" si="8"/>
        <v>105054.6875</v>
      </c>
      <c r="K39" s="119"/>
      <c r="L39" s="120"/>
      <c r="M39" s="119">
        <f t="shared" si="10"/>
        <v>376337.5</v>
      </c>
      <c r="N39" s="119"/>
      <c r="O39" s="120"/>
      <c r="P39" s="119">
        <f t="shared" si="11"/>
        <v>203174737390.625</v>
      </c>
      <c r="Q39" s="119"/>
      <c r="R39" s="120"/>
    </row>
    <row r="40" spans="2:21" collapsed="1" x14ac:dyDescent="0.2">
      <c r="C40" s="4"/>
      <c r="D40" s="124"/>
      <c r="E40" s="4"/>
      <c r="G40" s="5"/>
      <c r="H40" s="5"/>
      <c r="I40" s="22"/>
      <c r="J40" s="5"/>
      <c r="K40" s="5"/>
      <c r="L40" s="22"/>
      <c r="M40" s="5"/>
      <c r="N40" s="5"/>
      <c r="O40" s="22"/>
      <c r="P40" s="5"/>
      <c r="Q40" s="5"/>
      <c r="R40" s="22"/>
    </row>
    <row r="41" spans="2:21" x14ac:dyDescent="0.2">
      <c r="C41" s="4"/>
      <c r="D41" s="124"/>
      <c r="E41" s="4"/>
    </row>
    <row r="44" spans="2:21" x14ac:dyDescent="0.2">
      <c r="B44" s="2" t="s">
        <v>97</v>
      </c>
      <c r="M44" s="4">
        <f>M22/350</f>
        <v>0</v>
      </c>
    </row>
  </sheetData>
  <mergeCells count="4">
    <mergeCell ref="G16:I16"/>
    <mergeCell ref="J16:L16"/>
    <mergeCell ref="M16:O16"/>
    <mergeCell ref="P16:R16"/>
  </mergeCells>
  <pageMargins left="0.7" right="0.7" top="0.78740157499999996" bottom="0.78740157499999996" header="0.3" footer="0.3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8"/>
  <sheetViews>
    <sheetView zoomScale="85" zoomScaleNormal="85" workbookViewId="0">
      <pane xSplit="1" ySplit="6" topLeftCell="C7" activePane="bottomRight" state="frozen"/>
      <selection pane="topRight"/>
      <selection pane="bottomLeft"/>
      <selection pane="bottomRight" activeCell="P32" sqref="P32"/>
    </sheetView>
  </sheetViews>
  <sheetFormatPr baseColWidth="10" defaultColWidth="12.7109375" defaultRowHeight="12.75" x14ac:dyDescent="0.2"/>
  <cols>
    <col min="1" max="1" width="50.7109375" style="14" customWidth="1"/>
    <col min="2" max="2" width="14.140625" style="14" customWidth="1"/>
    <col min="3" max="14" width="14.140625" style="14" customWidth="1" collapsed="1"/>
    <col min="15" max="16384" width="12.7109375" style="14" collapsed="1"/>
  </cols>
  <sheetData>
    <row r="1" spans="1:14" ht="30" customHeight="1" x14ac:dyDescent="0.2">
      <c r="A1" s="198" t="s">
        <v>20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4" x14ac:dyDescent="0.2">
      <c r="A2" s="198" t="s">
        <v>21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4" x14ac:dyDescent="0.2">
      <c r="A3" s="198" t="s">
        <v>22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ht="13.5" thickBot="1" x14ac:dyDescent="0.25">
      <c r="A4" s="198" t="s">
        <v>23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4" ht="13.5" thickBot="1" x14ac:dyDescent="0.25">
      <c r="A5" s="200" t="s">
        <v>24</v>
      </c>
      <c r="B5" s="15" t="s">
        <v>25</v>
      </c>
      <c r="C5" s="15" t="s">
        <v>26</v>
      </c>
      <c r="D5" s="15" t="s">
        <v>27</v>
      </c>
      <c r="E5" s="15" t="s">
        <v>28</v>
      </c>
      <c r="F5" s="15" t="s">
        <v>29</v>
      </c>
      <c r="G5" s="15" t="s">
        <v>30</v>
      </c>
      <c r="H5" s="15" t="s">
        <v>31</v>
      </c>
      <c r="I5" s="15" t="s">
        <v>32</v>
      </c>
      <c r="J5" s="15" t="s">
        <v>33</v>
      </c>
      <c r="K5" s="15" t="s">
        <v>34</v>
      </c>
      <c r="L5" s="15" t="s">
        <v>35</v>
      </c>
      <c r="M5" s="15" t="s">
        <v>36</v>
      </c>
      <c r="N5" s="15">
        <v>2023</v>
      </c>
    </row>
    <row r="6" spans="1:14" ht="25.5" customHeight="1" thickBot="1" x14ac:dyDescent="0.25">
      <c r="A6" s="201"/>
      <c r="B6" s="15" t="s">
        <v>37</v>
      </c>
      <c r="C6" s="15" t="s">
        <v>37</v>
      </c>
      <c r="D6" s="15" t="s">
        <v>37</v>
      </c>
      <c r="E6" s="15" t="s">
        <v>37</v>
      </c>
      <c r="F6" s="15" t="s">
        <v>37</v>
      </c>
      <c r="G6" s="15" t="s">
        <v>37</v>
      </c>
      <c r="H6" s="15" t="s">
        <v>37</v>
      </c>
      <c r="I6" s="15" t="s">
        <v>37</v>
      </c>
      <c r="J6" s="15" t="s">
        <v>37</v>
      </c>
      <c r="K6" s="15" t="s">
        <v>37</v>
      </c>
      <c r="L6" s="15" t="s">
        <v>37</v>
      </c>
      <c r="M6" s="15" t="s">
        <v>37</v>
      </c>
      <c r="N6" s="15" t="s">
        <v>37</v>
      </c>
    </row>
    <row r="7" spans="1:14" x14ac:dyDescent="0.2">
      <c r="A7" s="16" t="s">
        <v>38</v>
      </c>
      <c r="B7" s="17">
        <v>92.4</v>
      </c>
      <c r="C7" s="17">
        <v>94.6</v>
      </c>
      <c r="D7" s="17">
        <v>96.6</v>
      </c>
      <c r="E7" s="17">
        <v>98.2</v>
      </c>
      <c r="F7" s="17">
        <v>100</v>
      </c>
      <c r="G7" s="17">
        <v>101.9</v>
      </c>
      <c r="H7" s="17">
        <v>105.3</v>
      </c>
      <c r="I7" s="17">
        <v>110.9</v>
      </c>
      <c r="J7" s="17">
        <v>116.7</v>
      </c>
      <c r="K7" s="17">
        <v>119.9</v>
      </c>
      <c r="L7" s="17">
        <v>126.7</v>
      </c>
      <c r="M7" s="17">
        <v>145.4</v>
      </c>
      <c r="N7" s="17">
        <v>160.5</v>
      </c>
    </row>
    <row r="8" spans="1:14" x14ac:dyDescent="0.2">
      <c r="A8" s="18" t="s">
        <v>39</v>
      </c>
      <c r="B8" s="19">
        <v>91.9</v>
      </c>
      <c r="C8" s="19">
        <v>94</v>
      </c>
      <c r="D8" s="19">
        <v>96.1</v>
      </c>
      <c r="E8" s="19">
        <v>97.8</v>
      </c>
      <c r="F8" s="19">
        <v>100</v>
      </c>
      <c r="G8" s="19">
        <v>102.5</v>
      </c>
      <c r="H8" s="19">
        <v>107.2</v>
      </c>
      <c r="I8" s="19">
        <v>114.9</v>
      </c>
      <c r="J8" s="19">
        <v>122.2</v>
      </c>
      <c r="K8" s="19">
        <v>125.2</v>
      </c>
      <c r="L8" s="19">
        <v>129.19999999999999</v>
      </c>
      <c r="M8" s="19">
        <v>147.1</v>
      </c>
      <c r="N8" s="19">
        <v>161.6</v>
      </c>
    </row>
    <row r="9" spans="1:14" x14ac:dyDescent="0.2">
      <c r="A9" s="18" t="s">
        <v>40</v>
      </c>
      <c r="B9" s="19">
        <v>91.3</v>
      </c>
      <c r="C9" s="19">
        <v>94.1</v>
      </c>
      <c r="D9" s="19">
        <v>96.1</v>
      </c>
      <c r="E9" s="19">
        <v>97.8</v>
      </c>
      <c r="F9" s="19">
        <v>100</v>
      </c>
      <c r="G9" s="19">
        <v>102.3</v>
      </c>
      <c r="H9" s="19">
        <v>105.3</v>
      </c>
      <c r="I9" s="19">
        <v>110.5</v>
      </c>
      <c r="J9" s="19">
        <v>116.3</v>
      </c>
      <c r="K9" s="19">
        <v>119.5</v>
      </c>
      <c r="L9" s="19">
        <v>130.5</v>
      </c>
      <c r="M9" s="19">
        <v>154</v>
      </c>
      <c r="N9" s="19">
        <v>167.9</v>
      </c>
    </row>
    <row r="10" spans="1:14" x14ac:dyDescent="0.2">
      <c r="A10" s="18" t="s">
        <v>41</v>
      </c>
      <c r="B10" s="19">
        <v>90.9</v>
      </c>
      <c r="C10" s="19">
        <v>93.2</v>
      </c>
      <c r="D10" s="19">
        <v>95.2</v>
      </c>
      <c r="E10" s="19">
        <v>97.7</v>
      </c>
      <c r="F10" s="19">
        <v>100</v>
      </c>
      <c r="G10" s="19">
        <v>101.6</v>
      </c>
      <c r="H10" s="19">
        <v>105.3</v>
      </c>
      <c r="I10" s="19">
        <v>111.3</v>
      </c>
      <c r="J10" s="19">
        <v>118</v>
      </c>
      <c r="K10" s="19">
        <v>120.9</v>
      </c>
      <c r="L10" s="19">
        <v>125.6</v>
      </c>
      <c r="M10" s="19">
        <v>145.1</v>
      </c>
      <c r="N10" s="19">
        <v>160.30000000000001</v>
      </c>
    </row>
    <row r="11" spans="1:14" x14ac:dyDescent="0.2">
      <c r="A11" s="18" t="s">
        <v>42</v>
      </c>
      <c r="B11" s="19" t="s">
        <v>43</v>
      </c>
      <c r="C11" s="19" t="s">
        <v>43</v>
      </c>
      <c r="D11" s="19" t="s">
        <v>43</v>
      </c>
      <c r="E11" s="19" t="s">
        <v>43</v>
      </c>
      <c r="F11" s="19">
        <v>100</v>
      </c>
      <c r="G11" s="19">
        <v>101.4</v>
      </c>
      <c r="H11" s="19">
        <v>105.6</v>
      </c>
      <c r="I11" s="19">
        <v>111.8</v>
      </c>
      <c r="J11" s="19">
        <v>116.8</v>
      </c>
      <c r="K11" s="19">
        <v>120.5</v>
      </c>
      <c r="L11" s="19">
        <v>126.4</v>
      </c>
      <c r="M11" s="19">
        <v>149.1</v>
      </c>
      <c r="N11" s="19">
        <v>170.4</v>
      </c>
    </row>
    <row r="12" spans="1:14" x14ac:dyDescent="0.2">
      <c r="A12" s="18" t="s">
        <v>44</v>
      </c>
      <c r="B12" s="19">
        <v>91.6</v>
      </c>
      <c r="C12" s="19">
        <v>97.5</v>
      </c>
      <c r="D12" s="19">
        <v>100.3</v>
      </c>
      <c r="E12" s="19">
        <v>100.8</v>
      </c>
      <c r="F12" s="19">
        <v>100</v>
      </c>
      <c r="G12" s="19">
        <v>98.7</v>
      </c>
      <c r="H12" s="19">
        <v>102.5</v>
      </c>
      <c r="I12" s="19">
        <v>108.7</v>
      </c>
      <c r="J12" s="19">
        <v>116.3</v>
      </c>
      <c r="K12" s="19">
        <v>118.3</v>
      </c>
      <c r="L12" s="19">
        <v>121.2</v>
      </c>
      <c r="M12" s="19">
        <v>143.69999999999999</v>
      </c>
      <c r="N12" s="19">
        <v>159.69999999999999</v>
      </c>
    </row>
    <row r="13" spans="1:14" x14ac:dyDescent="0.2">
      <c r="A13" s="18" t="s">
        <v>45</v>
      </c>
      <c r="B13" s="19">
        <v>94.4</v>
      </c>
      <c r="C13" s="19">
        <v>95.7</v>
      </c>
      <c r="D13" s="19">
        <v>97.5</v>
      </c>
      <c r="E13" s="19">
        <v>98.8</v>
      </c>
      <c r="F13" s="19">
        <v>100</v>
      </c>
      <c r="G13" s="19">
        <v>102</v>
      </c>
      <c r="H13" s="19">
        <v>104.4</v>
      </c>
      <c r="I13" s="19">
        <v>110</v>
      </c>
      <c r="J13" s="19">
        <v>115.5</v>
      </c>
      <c r="K13" s="19">
        <v>118.2</v>
      </c>
      <c r="L13" s="19">
        <v>123</v>
      </c>
      <c r="M13" s="19">
        <v>139.9</v>
      </c>
      <c r="N13" s="19">
        <v>154.69999999999999</v>
      </c>
    </row>
    <row r="14" spans="1:14" x14ac:dyDescent="0.2">
      <c r="A14" s="18" t="s">
        <v>46</v>
      </c>
      <c r="B14" s="19">
        <v>88.2</v>
      </c>
      <c r="C14" s="19">
        <v>90.7</v>
      </c>
      <c r="D14" s="19">
        <v>93.4</v>
      </c>
      <c r="E14" s="19">
        <v>96.2</v>
      </c>
      <c r="F14" s="19">
        <v>100</v>
      </c>
      <c r="G14" s="19">
        <v>102.7</v>
      </c>
      <c r="H14" s="19">
        <v>107</v>
      </c>
      <c r="I14" s="19">
        <v>111.7</v>
      </c>
      <c r="J14" s="19">
        <v>116.9</v>
      </c>
      <c r="K14" s="19">
        <v>122</v>
      </c>
      <c r="L14" s="19">
        <v>130.19999999999999</v>
      </c>
      <c r="M14" s="19">
        <v>152.6</v>
      </c>
      <c r="N14" s="19">
        <v>174.1</v>
      </c>
    </row>
    <row r="15" spans="1:14" x14ac:dyDescent="0.2">
      <c r="A15" s="18" t="s">
        <v>47</v>
      </c>
      <c r="B15" s="19">
        <v>94.2</v>
      </c>
      <c r="C15" s="19">
        <v>96.1</v>
      </c>
      <c r="D15" s="19">
        <v>97.3</v>
      </c>
      <c r="E15" s="19">
        <v>99</v>
      </c>
      <c r="F15" s="19">
        <v>100</v>
      </c>
      <c r="G15" s="19">
        <v>101.5</v>
      </c>
      <c r="H15" s="19">
        <v>104.4</v>
      </c>
      <c r="I15" s="19">
        <v>109.5</v>
      </c>
      <c r="J15" s="19">
        <v>114.9</v>
      </c>
      <c r="K15" s="19">
        <v>118</v>
      </c>
      <c r="L15" s="19">
        <v>123.9</v>
      </c>
      <c r="M15" s="19">
        <v>138.5</v>
      </c>
      <c r="N15" s="19">
        <v>148.4</v>
      </c>
    </row>
    <row r="16" spans="1:14" x14ac:dyDescent="0.2">
      <c r="A16" s="18" t="s">
        <v>48</v>
      </c>
      <c r="B16" s="19">
        <v>94.8</v>
      </c>
      <c r="C16" s="19">
        <v>96.6</v>
      </c>
      <c r="D16" s="19">
        <v>98.2</v>
      </c>
      <c r="E16" s="19">
        <v>99</v>
      </c>
      <c r="F16" s="19">
        <v>100</v>
      </c>
      <c r="G16" s="19">
        <v>101.7</v>
      </c>
      <c r="H16" s="19">
        <v>104.4</v>
      </c>
      <c r="I16" s="19">
        <v>109.5</v>
      </c>
      <c r="J16" s="19">
        <v>114.9</v>
      </c>
      <c r="K16" s="19">
        <v>117.8</v>
      </c>
      <c r="L16" s="19">
        <v>124.1</v>
      </c>
      <c r="M16" s="19">
        <v>139.80000000000001</v>
      </c>
      <c r="N16" s="19">
        <v>155.1</v>
      </c>
    </row>
    <row r="17" spans="1:14" x14ac:dyDescent="0.2">
      <c r="A17" s="18" t="s">
        <v>49</v>
      </c>
      <c r="B17" s="19" t="s">
        <v>43</v>
      </c>
      <c r="C17" s="19" t="s">
        <v>43</v>
      </c>
      <c r="D17" s="19" t="s">
        <v>43</v>
      </c>
      <c r="E17" s="19" t="s">
        <v>43</v>
      </c>
      <c r="F17" s="19">
        <v>100</v>
      </c>
      <c r="G17" s="19">
        <v>101.6</v>
      </c>
      <c r="H17" s="19">
        <v>104.4</v>
      </c>
      <c r="I17" s="19">
        <v>109.3</v>
      </c>
      <c r="J17" s="19">
        <v>113.2</v>
      </c>
      <c r="K17" s="19">
        <v>115.9</v>
      </c>
      <c r="L17" s="19">
        <v>153.30000000000001</v>
      </c>
      <c r="M17" s="19">
        <v>172.4</v>
      </c>
      <c r="N17" s="19">
        <v>168.8</v>
      </c>
    </row>
    <row r="18" spans="1:14" x14ac:dyDescent="0.2">
      <c r="A18" s="18" t="s">
        <v>50</v>
      </c>
      <c r="B18" s="19" t="s">
        <v>43</v>
      </c>
      <c r="C18" s="19" t="s">
        <v>43</v>
      </c>
      <c r="D18" s="19" t="s">
        <v>43</v>
      </c>
      <c r="E18" s="19" t="s">
        <v>43</v>
      </c>
      <c r="F18" s="19">
        <v>100</v>
      </c>
      <c r="G18" s="19">
        <v>101.8</v>
      </c>
      <c r="H18" s="19">
        <v>104.4</v>
      </c>
      <c r="I18" s="19">
        <v>108.1</v>
      </c>
      <c r="J18" s="19">
        <v>112.8</v>
      </c>
      <c r="K18" s="19">
        <v>116.3</v>
      </c>
      <c r="L18" s="19">
        <v>123</v>
      </c>
      <c r="M18" s="19">
        <v>136.19999999999999</v>
      </c>
      <c r="N18" s="19">
        <v>150.30000000000001</v>
      </c>
    </row>
    <row r="19" spans="1:14" x14ac:dyDescent="0.2">
      <c r="A19" s="18" t="s">
        <v>51</v>
      </c>
      <c r="B19" s="19">
        <v>92.6</v>
      </c>
      <c r="C19" s="19">
        <v>94.5</v>
      </c>
      <c r="D19" s="19">
        <v>95.9</v>
      </c>
      <c r="E19" s="19">
        <v>97.2</v>
      </c>
      <c r="F19" s="19">
        <v>100</v>
      </c>
      <c r="G19" s="19">
        <v>100.7</v>
      </c>
      <c r="H19" s="19">
        <v>103.4</v>
      </c>
      <c r="I19" s="19">
        <v>106.3</v>
      </c>
      <c r="J19" s="19">
        <v>110.5</v>
      </c>
      <c r="K19" s="19">
        <v>114.1</v>
      </c>
      <c r="L19" s="19">
        <v>120.5</v>
      </c>
      <c r="M19" s="19">
        <v>136.4</v>
      </c>
      <c r="N19" s="19">
        <v>152.9</v>
      </c>
    </row>
    <row r="20" spans="1:14" x14ac:dyDescent="0.2">
      <c r="A20" s="18" t="s">
        <v>52</v>
      </c>
      <c r="B20" s="19">
        <v>91.3</v>
      </c>
      <c r="C20" s="19">
        <v>93.4</v>
      </c>
      <c r="D20" s="19">
        <v>95.1</v>
      </c>
      <c r="E20" s="19">
        <v>97.5</v>
      </c>
      <c r="F20" s="19">
        <v>100</v>
      </c>
      <c r="G20" s="19">
        <v>101.7</v>
      </c>
      <c r="H20" s="19">
        <v>105.4</v>
      </c>
      <c r="I20" s="19">
        <v>109.2</v>
      </c>
      <c r="J20" s="19">
        <v>113.9</v>
      </c>
      <c r="K20" s="19">
        <v>117.6</v>
      </c>
      <c r="L20" s="19">
        <v>128.4</v>
      </c>
      <c r="M20" s="19">
        <v>154.69999999999999</v>
      </c>
      <c r="N20" s="19">
        <v>165.3</v>
      </c>
    </row>
    <row r="21" spans="1:14" x14ac:dyDescent="0.2">
      <c r="A21" s="18" t="s">
        <v>53</v>
      </c>
      <c r="B21" s="19">
        <v>89.6</v>
      </c>
      <c r="C21" s="19">
        <v>92.3</v>
      </c>
      <c r="D21" s="19">
        <v>95.5</v>
      </c>
      <c r="E21" s="19">
        <v>97.7</v>
      </c>
      <c r="F21" s="19">
        <v>100</v>
      </c>
      <c r="G21" s="19">
        <v>102.6</v>
      </c>
      <c r="H21" s="19">
        <v>106.3</v>
      </c>
      <c r="I21" s="19">
        <v>111.3</v>
      </c>
      <c r="J21" s="19">
        <v>116.7</v>
      </c>
      <c r="K21" s="19">
        <v>121</v>
      </c>
      <c r="L21" s="19">
        <v>131</v>
      </c>
      <c r="M21" s="19">
        <v>154.5</v>
      </c>
      <c r="N21" s="19">
        <v>171.6</v>
      </c>
    </row>
    <row r="22" spans="1:14" x14ac:dyDescent="0.2">
      <c r="A22" s="20" t="s">
        <v>54</v>
      </c>
    </row>
    <row r="23" spans="1:14" x14ac:dyDescent="0.2">
      <c r="A23" s="20" t="s">
        <v>55</v>
      </c>
    </row>
    <row r="24" spans="1:14" x14ac:dyDescent="0.2">
      <c r="A24" s="21" t="s">
        <v>56</v>
      </c>
    </row>
    <row r="25" spans="1:14" x14ac:dyDescent="0.2">
      <c r="A25" s="21"/>
    </row>
    <row r="26" spans="1:14" x14ac:dyDescent="0.2">
      <c r="A26" s="21" t="s">
        <v>57</v>
      </c>
      <c r="B26" s="14" t="str">
        <f>B5</f>
        <v>2011</v>
      </c>
      <c r="C26" s="14" t="str">
        <f t="shared" ref="C26:N26" si="0">C5</f>
        <v>2012</v>
      </c>
      <c r="D26" s="14" t="str">
        <f t="shared" si="0"/>
        <v>2013</v>
      </c>
      <c r="E26" s="14" t="str">
        <f t="shared" si="0"/>
        <v>2014</v>
      </c>
      <c r="F26" s="14" t="str">
        <f t="shared" si="0"/>
        <v>2015</v>
      </c>
      <c r="G26" s="14" t="str">
        <f t="shared" si="0"/>
        <v>2016</v>
      </c>
      <c r="H26" s="14" t="str">
        <f t="shared" si="0"/>
        <v>2017</v>
      </c>
      <c r="I26" s="14" t="str">
        <f t="shared" si="0"/>
        <v>2018</v>
      </c>
      <c r="J26" s="14" t="str">
        <f t="shared" si="0"/>
        <v>2019</v>
      </c>
      <c r="K26" s="14" t="str">
        <f t="shared" si="0"/>
        <v>2020</v>
      </c>
      <c r="L26" s="14" t="str">
        <f t="shared" si="0"/>
        <v>2021</v>
      </c>
      <c r="M26" s="14" t="str">
        <f t="shared" si="0"/>
        <v>2022</v>
      </c>
      <c r="N26" s="14">
        <f t="shared" si="0"/>
        <v>2023</v>
      </c>
    </row>
    <row r="27" spans="1:14" x14ac:dyDescent="0.2">
      <c r="A27" s="19" t="s">
        <v>58</v>
      </c>
      <c r="C27" s="14">
        <f>C7-B7</f>
        <v>2.1999999999999886</v>
      </c>
      <c r="D27" s="14">
        <f t="shared" ref="D27:N27" si="1">D7-C7</f>
        <v>2</v>
      </c>
      <c r="E27" s="14">
        <f t="shared" si="1"/>
        <v>1.6000000000000085</v>
      </c>
      <c r="F27" s="14">
        <f t="shared" si="1"/>
        <v>1.7999999999999972</v>
      </c>
      <c r="G27" s="14">
        <f t="shared" si="1"/>
        <v>1.9000000000000057</v>
      </c>
      <c r="H27" s="14">
        <f t="shared" si="1"/>
        <v>3.3999999999999915</v>
      </c>
      <c r="I27" s="14">
        <f t="shared" si="1"/>
        <v>5.6000000000000085</v>
      </c>
      <c r="J27" s="14">
        <f t="shared" si="1"/>
        <v>5.7999999999999972</v>
      </c>
      <c r="K27" s="14">
        <f t="shared" si="1"/>
        <v>3.2000000000000028</v>
      </c>
      <c r="L27" s="14">
        <f t="shared" si="1"/>
        <v>6.7999999999999972</v>
      </c>
      <c r="M27" s="14">
        <f t="shared" si="1"/>
        <v>18.700000000000003</v>
      </c>
      <c r="N27" s="14">
        <f t="shared" si="1"/>
        <v>15.099999999999994</v>
      </c>
    </row>
    <row r="28" spans="1:14" x14ac:dyDescent="0.2">
      <c r="A28" s="14" t="s">
        <v>59</v>
      </c>
      <c r="B28" s="14">
        <f>B7</f>
        <v>92.4</v>
      </c>
      <c r="C28" s="14">
        <f t="shared" ref="C28:N28" si="2">C7</f>
        <v>94.6</v>
      </c>
      <c r="D28" s="14">
        <f t="shared" si="2"/>
        <v>96.6</v>
      </c>
      <c r="E28" s="14">
        <f t="shared" si="2"/>
        <v>98.2</v>
      </c>
      <c r="F28" s="14">
        <f t="shared" si="2"/>
        <v>100</v>
      </c>
      <c r="G28" s="14">
        <f t="shared" si="2"/>
        <v>101.9</v>
      </c>
      <c r="H28" s="14">
        <f t="shared" si="2"/>
        <v>105.3</v>
      </c>
      <c r="I28" s="14">
        <f t="shared" si="2"/>
        <v>110.9</v>
      </c>
      <c r="J28" s="14">
        <f t="shared" si="2"/>
        <v>116.7</v>
      </c>
      <c r="K28" s="14">
        <f t="shared" si="2"/>
        <v>119.9</v>
      </c>
      <c r="L28" s="14">
        <f t="shared" si="2"/>
        <v>126.7</v>
      </c>
      <c r="M28" s="14">
        <f t="shared" si="2"/>
        <v>145.4</v>
      </c>
      <c r="N28" s="14">
        <f t="shared" si="2"/>
        <v>160.5</v>
      </c>
    </row>
  </sheetData>
  <mergeCells count="5">
    <mergeCell ref="A1:M1"/>
    <mergeCell ref="A2:M2"/>
    <mergeCell ref="A3:M3"/>
    <mergeCell ref="A4:M4"/>
    <mergeCell ref="A5:A6"/>
  </mergeCells>
  <pageMargins left="0.7" right="0.7" top="0.75" bottom="0.75" header="0.3" footer="0.3"/>
  <headerFooter>
    <oddFooter>&amp;CAbgerufen am 01.03.23 / 13:54:13&amp;RSeite &amp;P von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F363a_Kostenplg</vt:lpstr>
      <vt:lpstr>F363a_2024_Bestatt</vt:lpstr>
      <vt:lpstr>Baupreisindizes</vt:lpstr>
      <vt:lpstr>F363a_2024_Bestatt!Druckbereich</vt:lpstr>
      <vt:lpstr>F363a_Kostenplg!Druckbereich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Gunther</dc:creator>
  <cp:lastModifiedBy>Martin Venne</cp:lastModifiedBy>
  <cp:lastPrinted>2024-11-04T13:38:35Z</cp:lastPrinted>
  <dcterms:created xsi:type="dcterms:W3CDTF">2018-10-31T12:13:30Z</dcterms:created>
  <dcterms:modified xsi:type="dcterms:W3CDTF">2024-11-04T13:39:02Z</dcterms:modified>
</cp:coreProperties>
</file>